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For Rachel - Accounting Policies Documents 3.10.22\Global Accounting Policies and Procedures\"/>
    </mc:Choice>
  </mc:AlternateContent>
  <bookViews>
    <workbookView xWindow="120" yWindow="105" windowWidth="20610" windowHeight="9345"/>
  </bookViews>
  <sheets>
    <sheet name="1-New ARO Terms" sheetId="4" r:id="rId1"/>
    <sheet name="1a-New ARO Create" sheetId="5" r:id="rId2"/>
    <sheet name="2-Renewal Terms" sheetId="6" r:id="rId3"/>
    <sheet name="2a-Renewal Calc" sheetId="7" r:id="rId4"/>
    <sheet name="2b-Renewal Calc-INCREASE" sheetId="8" r:id="rId5"/>
  </sheets>
  <definedNames>
    <definedName name="solver_typ" localSheetId="1" hidden="1">2</definedName>
    <definedName name="solver_typ" localSheetId="0" hidden="1">2</definedName>
    <definedName name="solver_typ" localSheetId="3" hidden="1">2</definedName>
    <definedName name="solver_typ" localSheetId="4" hidden="1">2</definedName>
    <definedName name="solver_typ" localSheetId="2" hidden="1">2</definedName>
    <definedName name="solver_ver" localSheetId="1" hidden="1">12</definedName>
    <definedName name="solver_ver" localSheetId="0" hidden="1">12</definedName>
    <definedName name="solver_ver" localSheetId="3" hidden="1">12</definedName>
    <definedName name="solver_ver" localSheetId="4" hidden="1">12</definedName>
    <definedName name="solver_ver" localSheetId="2" hidden="1">12</definedName>
  </definedNames>
  <calcPr calcId="162913"/>
</workbook>
</file>

<file path=xl/calcChain.xml><?xml version="1.0" encoding="utf-8"?>
<calcChain xmlns="http://schemas.openxmlformats.org/spreadsheetml/2006/main">
  <c r="B8" i="5" l="1"/>
  <c r="B8" i="7"/>
  <c r="G20" i="6"/>
  <c r="G17" i="6"/>
  <c r="E20" i="6" s="1"/>
  <c r="C16" i="6"/>
  <c r="C15" i="6"/>
  <c r="C18" i="4" l="1"/>
  <c r="C17" i="6" s="1"/>
  <c r="C15" i="4"/>
  <c r="A18" i="4" l="1"/>
  <c r="C14" i="6"/>
  <c r="A17" i="6" s="1"/>
  <c r="C10" i="6"/>
  <c r="G8" i="6"/>
  <c r="C9" i="4"/>
  <c r="C13" i="4" s="1"/>
  <c r="A2" i="7" l="1"/>
  <c r="A1" i="7"/>
  <c r="A2" i="5"/>
  <c r="A1" i="5"/>
  <c r="A12" i="8"/>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U11" i="8"/>
  <c r="T11" i="8"/>
  <c r="N11" i="8"/>
  <c r="L12" i="8" s="1"/>
  <c r="B4" i="8"/>
  <c r="B3" i="8"/>
  <c r="B2" i="8"/>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 i="7"/>
  <c r="B9" i="7" s="1"/>
  <c r="B6" i="7"/>
  <c r="B5" i="7"/>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L16" i="7"/>
  <c r="A16" i="7"/>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U15" i="7"/>
  <c r="T15" i="7"/>
  <c r="N15" i="7"/>
  <c r="E12" i="6"/>
  <c r="G12" i="6"/>
  <c r="E10" i="6"/>
  <c r="C6" i="6"/>
  <c r="C7" i="6"/>
  <c r="A12" i="6" s="1"/>
  <c r="C11" i="6"/>
  <c r="C5" i="6"/>
  <c r="B4" i="7" s="1"/>
  <c r="B4" i="5"/>
  <c r="C10" i="5"/>
  <c r="C11" i="5" s="1"/>
  <c r="A51" i="5"/>
  <c r="A52" i="5" s="1"/>
  <c r="A53" i="5" s="1"/>
  <c r="A54" i="5" s="1"/>
  <c r="A55" i="5" s="1"/>
  <c r="A56" i="5" s="1"/>
  <c r="A57" i="5" s="1"/>
  <c r="A58" i="5" s="1"/>
  <c r="A59" i="5" s="1"/>
  <c r="A60" i="5" s="1"/>
  <c r="B5" i="5"/>
  <c r="B15" i="5" s="1"/>
  <c r="B16" i="5" s="1"/>
  <c r="B17" i="5" s="1"/>
  <c r="B18" i="5" s="1"/>
  <c r="A16" i="5"/>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U15" i="5"/>
  <c r="T15" i="5"/>
  <c r="A11" i="4"/>
  <c r="B6" i="5"/>
  <c r="L16" i="5" l="1"/>
  <c r="A10" i="6"/>
  <c r="B1" i="8"/>
  <c r="C8" i="6"/>
  <c r="A13" i="4"/>
  <c r="B7" i="5"/>
  <c r="B9" i="5" s="1"/>
  <c r="H15" i="5"/>
  <c r="Q15" i="5" s="1"/>
  <c r="C78" i="5"/>
  <c r="B19" i="5"/>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A61" i="5"/>
  <c r="A62" i="5" s="1"/>
  <c r="A63" i="5" s="1"/>
  <c r="A64" i="5" s="1"/>
  <c r="A65" i="5" s="1"/>
  <c r="A66" i="5" s="1"/>
  <c r="A67" i="5" s="1"/>
  <c r="A68" i="5" s="1"/>
  <c r="A69" i="5" s="1"/>
  <c r="A70" i="5" s="1"/>
  <c r="A71" i="5" s="1"/>
  <c r="A72" i="5" s="1"/>
  <c r="D11" i="5"/>
  <c r="A73" i="5" l="1"/>
  <c r="A74" i="5" s="1"/>
  <c r="A75" i="5" s="1"/>
  <c r="D75" i="5" s="1"/>
  <c r="C75" i="5"/>
  <c r="C80" i="5" s="1"/>
  <c r="I76" i="5"/>
  <c r="C12" i="6"/>
  <c r="G14" i="6" s="1"/>
  <c r="R15" i="5"/>
  <c r="D74" i="5"/>
  <c r="E74" i="5" s="1"/>
  <c r="D73" i="5"/>
  <c r="E73" i="5" s="1"/>
  <c r="D20" i="5"/>
  <c r="E20" i="5" s="1"/>
  <c r="D25" i="5"/>
  <c r="E25" i="5" s="1"/>
  <c r="D29" i="5"/>
  <c r="E29" i="5" s="1"/>
  <c r="D33" i="5"/>
  <c r="E33" i="5" s="1"/>
  <c r="D37" i="5"/>
  <c r="E37" i="5" s="1"/>
  <c r="D41" i="5"/>
  <c r="E41" i="5" s="1"/>
  <c r="D45" i="5"/>
  <c r="E45" i="5" s="1"/>
  <c r="D49" i="5"/>
  <c r="E49" i="5" s="1"/>
  <c r="D53" i="5"/>
  <c r="E53" i="5" s="1"/>
  <c r="D57" i="5"/>
  <c r="E57" i="5" s="1"/>
  <c r="D61" i="5"/>
  <c r="E61" i="5" s="1"/>
  <c r="D65" i="5"/>
  <c r="E65" i="5" s="1"/>
  <c r="D19" i="5"/>
  <c r="E19" i="5" s="1"/>
  <c r="D22" i="5"/>
  <c r="E22" i="5" s="1"/>
  <c r="D26" i="5"/>
  <c r="E26" i="5" s="1"/>
  <c r="D30" i="5"/>
  <c r="E30" i="5" s="1"/>
  <c r="D34" i="5"/>
  <c r="E34" i="5" s="1"/>
  <c r="D38" i="5"/>
  <c r="E38" i="5" s="1"/>
  <c r="D42" i="5"/>
  <c r="E42" i="5" s="1"/>
  <c r="D46" i="5"/>
  <c r="E46" i="5" s="1"/>
  <c r="D50" i="5"/>
  <c r="E50" i="5" s="1"/>
  <c r="D54" i="5"/>
  <c r="E54" i="5" s="1"/>
  <c r="D58" i="5"/>
  <c r="E58" i="5" s="1"/>
  <c r="D62" i="5"/>
  <c r="E62" i="5" s="1"/>
  <c r="D66" i="5"/>
  <c r="E66" i="5" s="1"/>
  <c r="D23" i="5"/>
  <c r="E23" i="5" s="1"/>
  <c r="D27" i="5"/>
  <c r="E27" i="5" s="1"/>
  <c r="D31" i="5"/>
  <c r="E31" i="5" s="1"/>
  <c r="D35" i="5"/>
  <c r="E35" i="5" s="1"/>
  <c r="D39" i="5"/>
  <c r="E39" i="5" s="1"/>
  <c r="D43" i="5"/>
  <c r="E43" i="5" s="1"/>
  <c r="D47" i="5"/>
  <c r="E47" i="5" s="1"/>
  <c r="D51" i="5"/>
  <c r="E51" i="5" s="1"/>
  <c r="D55" i="5"/>
  <c r="E55" i="5" s="1"/>
  <c r="D59" i="5"/>
  <c r="E59" i="5" s="1"/>
  <c r="D63" i="5"/>
  <c r="E63" i="5" s="1"/>
  <c r="D24" i="5"/>
  <c r="E24" i="5" s="1"/>
  <c r="D40" i="5"/>
  <c r="E40" i="5" s="1"/>
  <c r="D56" i="5"/>
  <c r="E56" i="5" s="1"/>
  <c r="D28" i="5"/>
  <c r="E28" i="5" s="1"/>
  <c r="D44" i="5"/>
  <c r="E44" i="5" s="1"/>
  <c r="D60" i="5"/>
  <c r="E60" i="5" s="1"/>
  <c r="D32" i="5"/>
  <c r="E32" i="5" s="1"/>
  <c r="D48" i="5"/>
  <c r="E48" i="5" s="1"/>
  <c r="D64" i="5"/>
  <c r="E64" i="5" s="1"/>
  <c r="D21" i="5"/>
  <c r="E21" i="5" s="1"/>
  <c r="D36" i="5"/>
  <c r="E36" i="5" s="1"/>
  <c r="D52" i="5"/>
  <c r="E52" i="5" s="1"/>
  <c r="B51" i="5"/>
  <c r="B52" i="5" s="1"/>
  <c r="B53" i="5" s="1"/>
  <c r="B54" i="5" s="1"/>
  <c r="B55" i="5" s="1"/>
  <c r="B56" i="5" s="1"/>
  <c r="B57" i="5" s="1"/>
  <c r="B58" i="5" s="1"/>
  <c r="B59" i="5" s="1"/>
  <c r="B60" i="5" s="1"/>
  <c r="B61" i="5" s="1"/>
  <c r="B62" i="5" s="1"/>
  <c r="B63" i="5" s="1"/>
  <c r="B64" i="5" s="1"/>
  <c r="B65" i="5" s="1"/>
  <c r="B66" i="5" s="1"/>
  <c r="B67" i="5" s="1"/>
  <c r="B68" i="5" s="1"/>
  <c r="B69" i="5" s="1"/>
  <c r="B70" i="5" s="1"/>
  <c r="B71" i="5" s="1"/>
  <c r="B72" i="5" s="1"/>
  <c r="D71" i="5"/>
  <c r="E71" i="5" s="1"/>
  <c r="D69" i="5"/>
  <c r="E69" i="5" s="1"/>
  <c r="D67" i="5"/>
  <c r="E67" i="5" s="1"/>
  <c r="D17" i="5"/>
  <c r="E17" i="5" s="1"/>
  <c r="D16" i="5"/>
  <c r="E16" i="5" s="1"/>
  <c r="D72" i="5"/>
  <c r="E72" i="5" s="1"/>
  <c r="D70" i="5"/>
  <c r="E70" i="5" s="1"/>
  <c r="D68" i="5"/>
  <c r="E68" i="5" s="1"/>
  <c r="D18" i="5"/>
  <c r="E18" i="5" s="1"/>
  <c r="D15" i="5"/>
  <c r="E15" i="5" s="1"/>
  <c r="H15" i="6" l="1"/>
  <c r="G15" i="6"/>
  <c r="E75" i="5"/>
  <c r="E80" i="5" s="1"/>
  <c r="E81" i="5" s="1"/>
  <c r="B73" i="5"/>
  <c r="B74" i="5" s="1"/>
  <c r="B75" i="5" s="1"/>
  <c r="C71" i="8" l="1"/>
  <c r="C10" i="7"/>
  <c r="C11" i="7" s="1"/>
  <c r="C78" i="7" s="1"/>
  <c r="C75" i="7"/>
  <c r="C6" i="8"/>
  <c r="C7" i="8" s="1"/>
  <c r="C74" i="8" s="1"/>
  <c r="I76" i="7"/>
  <c r="I72" i="8"/>
  <c r="I15" i="5"/>
  <c r="K15" i="5" s="1"/>
  <c r="G16" i="5" l="1"/>
  <c r="H16" i="5" s="1"/>
  <c r="Q16" i="5" s="1"/>
  <c r="C76" i="8"/>
  <c r="D11" i="7"/>
  <c r="D74" i="7" s="1"/>
  <c r="E74" i="7" s="1"/>
  <c r="C80" i="7"/>
  <c r="H15" i="7"/>
  <c r="Q15" i="7" s="1"/>
  <c r="R15" i="7" s="1"/>
  <c r="H11" i="8"/>
  <c r="Q11" i="8" s="1"/>
  <c r="R11" i="8" s="1"/>
  <c r="D7" i="8"/>
  <c r="D60" i="8" s="1"/>
  <c r="E60" i="8" s="1"/>
  <c r="K16" i="5"/>
  <c r="M16" i="5" s="1"/>
  <c r="O15" i="5"/>
  <c r="N16" i="5" l="1"/>
  <c r="L17" i="5" s="1"/>
  <c r="D33" i="7"/>
  <c r="E33" i="7" s="1"/>
  <c r="D54" i="8"/>
  <c r="E54" i="8" s="1"/>
  <c r="D35" i="7"/>
  <c r="E35" i="7" s="1"/>
  <c r="D23" i="8"/>
  <c r="E23" i="8" s="1"/>
  <c r="D59" i="7"/>
  <c r="E59" i="7" s="1"/>
  <c r="D43" i="7"/>
  <c r="E43" i="7" s="1"/>
  <c r="D18" i="7"/>
  <c r="E18" i="7" s="1"/>
  <c r="D67" i="7"/>
  <c r="E67" i="7" s="1"/>
  <c r="D60" i="7"/>
  <c r="E60" i="7" s="1"/>
  <c r="D64" i="8"/>
  <c r="E64" i="8" s="1"/>
  <c r="D38" i="7"/>
  <c r="E38" i="7" s="1"/>
  <c r="D56" i="7"/>
  <c r="E56" i="7" s="1"/>
  <c r="D50" i="7"/>
  <c r="E50" i="7" s="1"/>
  <c r="D22" i="7"/>
  <c r="E22" i="7" s="1"/>
  <c r="D38" i="8"/>
  <c r="E38" i="8" s="1"/>
  <c r="D11" i="8"/>
  <c r="D37" i="7"/>
  <c r="E37" i="7" s="1"/>
  <c r="D31" i="7"/>
  <c r="E31" i="7" s="1"/>
  <c r="D29" i="7"/>
  <c r="E29" i="7" s="1"/>
  <c r="D47" i="7"/>
  <c r="E47" i="7" s="1"/>
  <c r="D13" i="8"/>
  <c r="E13" i="8" s="1"/>
  <c r="D70" i="8"/>
  <c r="E70" i="8" s="1"/>
  <c r="D55" i="8"/>
  <c r="E55" i="8" s="1"/>
  <c r="D58" i="8"/>
  <c r="E58" i="8" s="1"/>
  <c r="D43" i="8"/>
  <c r="E43" i="8" s="1"/>
  <c r="D36" i="8"/>
  <c r="E36" i="8" s="1"/>
  <c r="D69" i="7"/>
  <c r="E69" i="7" s="1"/>
  <c r="D68" i="7"/>
  <c r="E68" i="7" s="1"/>
  <c r="D63" i="7"/>
  <c r="E63" i="7" s="1"/>
  <c r="D62" i="7"/>
  <c r="E62" i="7" s="1"/>
  <c r="D17" i="7"/>
  <c r="E17" i="7" s="1"/>
  <c r="D71" i="7"/>
  <c r="E71" i="7" s="1"/>
  <c r="D73" i="7"/>
  <c r="E73" i="7" s="1"/>
  <c r="D49" i="7"/>
  <c r="E49" i="7" s="1"/>
  <c r="D27" i="7"/>
  <c r="E27" i="7" s="1"/>
  <c r="D65" i="7"/>
  <c r="E65" i="7" s="1"/>
  <c r="D45" i="7"/>
  <c r="E45" i="7" s="1"/>
  <c r="D23" i="7"/>
  <c r="E23" i="7" s="1"/>
  <c r="D61" i="7"/>
  <c r="E61" i="7" s="1"/>
  <c r="D42" i="7"/>
  <c r="E42" i="7" s="1"/>
  <c r="D55" i="7"/>
  <c r="E55" i="7" s="1"/>
  <c r="D41" i="8"/>
  <c r="E41" i="8" s="1"/>
  <c r="D16" i="8"/>
  <c r="E16" i="8" s="1"/>
  <c r="D26" i="8"/>
  <c r="E26" i="8" s="1"/>
  <c r="D68" i="8"/>
  <c r="E68" i="8" s="1"/>
  <c r="D53" i="8"/>
  <c r="E53" i="8" s="1"/>
  <c r="D35" i="8"/>
  <c r="E35" i="8" s="1"/>
  <c r="D71" i="8"/>
  <c r="E71" i="8" s="1"/>
  <c r="I11" i="8" s="1"/>
  <c r="D29" i="8"/>
  <c r="E29" i="8" s="1"/>
  <c r="D14" i="8"/>
  <c r="E14" i="8" s="1"/>
  <c r="D24" i="8"/>
  <c r="E24" i="8" s="1"/>
  <c r="D44" i="8"/>
  <c r="E44" i="8" s="1"/>
  <c r="D58" i="7"/>
  <c r="E58" i="7" s="1"/>
  <c r="D53" i="7"/>
  <c r="E53" i="7" s="1"/>
  <c r="D52" i="7"/>
  <c r="E52" i="7" s="1"/>
  <c r="D48" i="7"/>
  <c r="E48" i="7" s="1"/>
  <c r="D39" i="7"/>
  <c r="E39" i="7" s="1"/>
  <c r="D16" i="7"/>
  <c r="E16" i="7" s="1"/>
  <c r="D51" i="7"/>
  <c r="E51" i="7" s="1"/>
  <c r="D75" i="7"/>
  <c r="E75" i="7" s="1"/>
  <c r="E80" i="7" s="1"/>
  <c r="E81" i="7" s="1"/>
  <c r="D32" i="7"/>
  <c r="E32" i="7" s="1"/>
  <c r="D70" i="7"/>
  <c r="E70" i="7" s="1"/>
  <c r="D46" i="7"/>
  <c r="E46" i="7" s="1"/>
  <c r="D28" i="7"/>
  <c r="E28" i="7" s="1"/>
  <c r="D26" i="7"/>
  <c r="E26" i="7" s="1"/>
  <c r="D41" i="7"/>
  <c r="E41" i="7" s="1"/>
  <c r="D20" i="7"/>
  <c r="E20" i="7" s="1"/>
  <c r="D19" i="8"/>
  <c r="E19" i="8" s="1"/>
  <c r="D45" i="8"/>
  <c r="E45" i="8" s="1"/>
  <c r="D50" i="8"/>
  <c r="E50" i="8" s="1"/>
  <c r="D34" i="8"/>
  <c r="E34" i="8" s="1"/>
  <c r="D69" i="8"/>
  <c r="E69" i="8" s="1"/>
  <c r="D66" i="8"/>
  <c r="E66" i="8" s="1"/>
  <c r="D39" i="8"/>
  <c r="E39" i="8" s="1"/>
  <c r="D67" i="8"/>
  <c r="E67" i="8" s="1"/>
  <c r="D65" i="8"/>
  <c r="E65" i="8" s="1"/>
  <c r="D18" i="8"/>
  <c r="E18" i="8" s="1"/>
  <c r="D28" i="8"/>
  <c r="E28" i="8" s="1"/>
  <c r="D61" i="8"/>
  <c r="E61" i="8" s="1"/>
  <c r="D30" i="7"/>
  <c r="E30" i="7" s="1"/>
  <c r="D25" i="7"/>
  <c r="E25" i="7" s="1"/>
  <c r="D24" i="7"/>
  <c r="E24" i="7" s="1"/>
  <c r="D19" i="7"/>
  <c r="E19" i="7" s="1"/>
  <c r="D57" i="7"/>
  <c r="E57" i="7" s="1"/>
  <c r="D15" i="7"/>
  <c r="D54" i="7"/>
  <c r="E54" i="7" s="1"/>
  <c r="D72" i="7"/>
  <c r="E72" i="7" s="1"/>
  <c r="D44" i="7"/>
  <c r="E44" i="7" s="1"/>
  <c r="D34" i="7"/>
  <c r="E34" i="7" s="1"/>
  <c r="D64" i="7"/>
  <c r="E64" i="7" s="1"/>
  <c r="D40" i="7"/>
  <c r="E40" i="7" s="1"/>
  <c r="D36" i="7"/>
  <c r="E36" i="7" s="1"/>
  <c r="D66" i="7"/>
  <c r="E66" i="7" s="1"/>
  <c r="D21" i="7"/>
  <c r="E21" i="7" s="1"/>
  <c r="D25" i="8"/>
  <c r="E25" i="8" s="1"/>
  <c r="D12" i="8"/>
  <c r="E12" i="8" s="1"/>
  <c r="D22" i="8"/>
  <c r="E22" i="8" s="1"/>
  <c r="D42" i="8"/>
  <c r="E42" i="8" s="1"/>
  <c r="D17" i="8"/>
  <c r="E17" i="8" s="1"/>
  <c r="D27" i="8"/>
  <c r="E27" i="8" s="1"/>
  <c r="D57" i="8"/>
  <c r="E57" i="8" s="1"/>
  <c r="D21" i="8"/>
  <c r="E21" i="8" s="1"/>
  <c r="D46" i="8"/>
  <c r="E46" i="8" s="1"/>
  <c r="D20" i="8"/>
  <c r="E20" i="8" s="1"/>
  <c r="D40" i="8"/>
  <c r="E40" i="8" s="1"/>
  <c r="D48" i="8"/>
  <c r="E48" i="8" s="1"/>
  <c r="D33" i="8"/>
  <c r="E33" i="8" s="1"/>
  <c r="D62" i="8"/>
  <c r="E62" i="8" s="1"/>
  <c r="D59" i="8"/>
  <c r="E59" i="8" s="1"/>
  <c r="D30" i="8"/>
  <c r="E30" i="8" s="1"/>
  <c r="D52" i="8"/>
  <c r="E52" i="8" s="1"/>
  <c r="D49" i="8"/>
  <c r="E49" i="8" s="1"/>
  <c r="D47" i="8"/>
  <c r="E47" i="8" s="1"/>
  <c r="D31" i="8"/>
  <c r="E31" i="8" s="1"/>
  <c r="D56" i="8"/>
  <c r="E56" i="8" s="1"/>
  <c r="D15" i="8"/>
  <c r="E15" i="8" s="1"/>
  <c r="D37" i="8"/>
  <c r="E37" i="8" s="1"/>
  <c r="D63" i="8"/>
  <c r="E63" i="8" s="1"/>
  <c r="D51" i="8"/>
  <c r="E51" i="8" s="1"/>
  <c r="D32" i="8"/>
  <c r="E32" i="8" s="1"/>
  <c r="R16" i="5"/>
  <c r="I16" i="5"/>
  <c r="G17" i="5" s="1"/>
  <c r="K17" i="5"/>
  <c r="E76" i="8" l="1"/>
  <c r="E77" i="8" s="1"/>
  <c r="I15" i="7"/>
  <c r="C41" i="6"/>
  <c r="G12" i="8"/>
  <c r="H17" i="5"/>
  <c r="Q17" i="5" s="1"/>
  <c r="U16" i="5"/>
  <c r="T16" i="5"/>
  <c r="M17" i="5"/>
  <c r="K18" i="5"/>
  <c r="K19" i="5" s="1"/>
  <c r="C38" i="6" l="1"/>
  <c r="G16" i="7"/>
  <c r="H16" i="7" s="1"/>
  <c r="Q16" i="7" s="1"/>
  <c r="R16" i="7" s="1"/>
  <c r="H12" i="8"/>
  <c r="Q12" i="8" s="1"/>
  <c r="R12" i="8" s="1"/>
  <c r="K12" i="8"/>
  <c r="O11" i="8"/>
  <c r="R17" i="5"/>
  <c r="K20" i="5"/>
  <c r="I17" i="5"/>
  <c r="G18" i="5" s="1"/>
  <c r="H18" i="5" s="1"/>
  <c r="Q18" i="5" s="1"/>
  <c r="R18" i="5" s="1"/>
  <c r="O16" i="5"/>
  <c r="U17" i="5"/>
  <c r="T17" i="5"/>
  <c r="N17" i="5"/>
  <c r="M18" i="5"/>
  <c r="M19" i="5" s="1"/>
  <c r="C39" i="6" l="1"/>
  <c r="I16" i="7"/>
  <c r="G17" i="7" s="1"/>
  <c r="H17" i="7" s="1"/>
  <c r="Q17" i="7" s="1"/>
  <c r="R17" i="7" s="1"/>
  <c r="I12" i="8"/>
  <c r="G13" i="8" s="1"/>
  <c r="H13" i="8" s="1"/>
  <c r="Q13" i="8" s="1"/>
  <c r="R13" i="8" s="1"/>
  <c r="M12" i="8"/>
  <c r="K13" i="8"/>
  <c r="K14" i="8" s="1"/>
  <c r="K15" i="8" s="1"/>
  <c r="K16" i="8" s="1"/>
  <c r="M20" i="5"/>
  <c r="T19" i="5"/>
  <c r="U19" i="5"/>
  <c r="K21" i="5"/>
  <c r="I18" i="5"/>
  <c r="G19" i="5" s="1"/>
  <c r="L18" i="5"/>
  <c r="N18" i="5" s="1"/>
  <c r="L19" i="5" s="1"/>
  <c r="N19" i="5" s="1"/>
  <c r="O17" i="5"/>
  <c r="U18" i="5"/>
  <c r="T18" i="5"/>
  <c r="C46" i="6" l="1"/>
  <c r="I17" i="7"/>
  <c r="G18" i="7" s="1"/>
  <c r="H18" i="7" s="1"/>
  <c r="Q18" i="7" s="1"/>
  <c r="R18" i="7" s="1"/>
  <c r="T12" i="8"/>
  <c r="N12" i="8"/>
  <c r="M13" i="8"/>
  <c r="U12" i="8"/>
  <c r="I13" i="8"/>
  <c r="G14" i="8" s="1"/>
  <c r="K17" i="8"/>
  <c r="L20" i="5"/>
  <c r="N20" i="5" s="1"/>
  <c r="O19" i="5"/>
  <c r="K22" i="5"/>
  <c r="H19" i="5"/>
  <c r="Q19" i="5" s="1"/>
  <c r="T20" i="5"/>
  <c r="M21" i="5"/>
  <c r="U20" i="5"/>
  <c r="O18" i="5"/>
  <c r="I18" i="7" l="1"/>
  <c r="G19" i="7" s="1"/>
  <c r="H19" i="7" s="1"/>
  <c r="Q19" i="7" s="1"/>
  <c r="R19" i="7" s="1"/>
  <c r="T13" i="8"/>
  <c r="M14" i="8"/>
  <c r="U13" i="8"/>
  <c r="L13" i="8"/>
  <c r="N13" i="8" s="1"/>
  <c r="O12" i="8"/>
  <c r="H14" i="8"/>
  <c r="Q14" i="8" s="1"/>
  <c r="R14" i="8" s="1"/>
  <c r="K18" i="8"/>
  <c r="R19" i="5"/>
  <c r="I19" i="5"/>
  <c r="G20" i="5" s="1"/>
  <c r="H20" i="5" s="1"/>
  <c r="Q20" i="5" s="1"/>
  <c r="R20" i="5" s="1"/>
  <c r="U21" i="5"/>
  <c r="T21" i="5"/>
  <c r="M22" i="5"/>
  <c r="K23" i="5"/>
  <c r="L21" i="5"/>
  <c r="N21" i="5" s="1"/>
  <c r="O20" i="5"/>
  <c r="I19" i="7" l="1"/>
  <c r="G20" i="7" s="1"/>
  <c r="H20" i="7" s="1"/>
  <c r="Q20" i="7" s="1"/>
  <c r="R20" i="7" s="1"/>
  <c r="I14" i="8"/>
  <c r="G15" i="8" s="1"/>
  <c r="H15" i="8" s="1"/>
  <c r="Q15" i="8" s="1"/>
  <c r="R15" i="8" s="1"/>
  <c r="L14" i="8"/>
  <c r="N14" i="8" s="1"/>
  <c r="O13" i="8"/>
  <c r="M15" i="8"/>
  <c r="T14" i="8"/>
  <c r="U14" i="8"/>
  <c r="K19" i="8"/>
  <c r="K24" i="5"/>
  <c r="L22" i="5"/>
  <c r="N22" i="5" s="1"/>
  <c r="O21" i="5"/>
  <c r="M23" i="5"/>
  <c r="T22" i="5"/>
  <c r="U22" i="5"/>
  <c r="I20" i="5"/>
  <c r="G21" i="5" s="1"/>
  <c r="I15" i="8" l="1"/>
  <c r="G16" i="8" s="1"/>
  <c r="T15" i="8"/>
  <c r="M16" i="8"/>
  <c r="U15" i="8"/>
  <c r="L15" i="8"/>
  <c r="N15" i="8" s="1"/>
  <c r="O14" i="8"/>
  <c r="K20" i="8"/>
  <c r="I20" i="7"/>
  <c r="G21" i="7" s="1"/>
  <c r="H21" i="5"/>
  <c r="Q21" i="5" s="1"/>
  <c r="R21" i="5" s="1"/>
  <c r="L23" i="5"/>
  <c r="N23" i="5" s="1"/>
  <c r="O22" i="5"/>
  <c r="U23" i="5"/>
  <c r="T23" i="5"/>
  <c r="M24" i="5"/>
  <c r="K25" i="5"/>
  <c r="L16" i="8" l="1"/>
  <c r="N16" i="8" s="1"/>
  <c r="O15" i="8"/>
  <c r="H16" i="8"/>
  <c r="Q16" i="8" s="1"/>
  <c r="R16" i="8" s="1"/>
  <c r="M17" i="8"/>
  <c r="U16" i="8"/>
  <c r="T16" i="8"/>
  <c r="K21" i="8"/>
  <c r="H21" i="7"/>
  <c r="Q21" i="7" s="1"/>
  <c r="R21" i="7" s="1"/>
  <c r="L24" i="5"/>
  <c r="N24" i="5" s="1"/>
  <c r="O23" i="5"/>
  <c r="T24" i="5"/>
  <c r="U24" i="5"/>
  <c r="M25" i="5"/>
  <c r="K26" i="5"/>
  <c r="I21" i="5"/>
  <c r="G22" i="5" s="1"/>
  <c r="I16" i="8" l="1"/>
  <c r="G17" i="8" s="1"/>
  <c r="H17" i="8" s="1"/>
  <c r="Q17" i="8" s="1"/>
  <c r="R17" i="8" s="1"/>
  <c r="T17" i="8"/>
  <c r="M18" i="8"/>
  <c r="U17" i="8"/>
  <c r="L17" i="8"/>
  <c r="N17" i="8" s="1"/>
  <c r="O16" i="8"/>
  <c r="K22" i="8"/>
  <c r="I21" i="7"/>
  <c r="G22" i="7" s="1"/>
  <c r="H22" i="7" s="1"/>
  <c r="Q22" i="7" s="1"/>
  <c r="R22" i="7" s="1"/>
  <c r="K27" i="5"/>
  <c r="L25" i="5"/>
  <c r="N25" i="5" s="1"/>
  <c r="O24" i="5"/>
  <c r="M26" i="5"/>
  <c r="T25" i="5"/>
  <c r="U25" i="5"/>
  <c r="H22" i="5"/>
  <c r="Q22" i="5" s="1"/>
  <c r="R22" i="5" s="1"/>
  <c r="U18" i="8" l="1"/>
  <c r="M19" i="8"/>
  <c r="T18" i="8"/>
  <c r="L18" i="8"/>
  <c r="N18" i="8" s="1"/>
  <c r="O17" i="8"/>
  <c r="I17" i="8"/>
  <c r="G18" i="8" s="1"/>
  <c r="K23" i="8"/>
  <c r="I22" i="7"/>
  <c r="G23" i="7" s="1"/>
  <c r="H23" i="7" s="1"/>
  <c r="Q23" i="7" s="1"/>
  <c r="R23" i="7" s="1"/>
  <c r="L26" i="5"/>
  <c r="N26" i="5" s="1"/>
  <c r="O25" i="5"/>
  <c r="I22" i="5"/>
  <c r="G23" i="5" s="1"/>
  <c r="U26" i="5"/>
  <c r="M27" i="5"/>
  <c r="T26" i="5"/>
  <c r="K28" i="5"/>
  <c r="O18" i="8" l="1"/>
  <c r="L19" i="8"/>
  <c r="N19" i="8" s="1"/>
  <c r="H18" i="8"/>
  <c r="Q18" i="8" s="1"/>
  <c r="R18" i="8" s="1"/>
  <c r="U19" i="8"/>
  <c r="T19" i="8"/>
  <c r="M20" i="8"/>
  <c r="K24" i="8"/>
  <c r="I23" i="7"/>
  <c r="G24" i="7" s="1"/>
  <c r="H24" i="7" s="1"/>
  <c r="Q24" i="7" s="1"/>
  <c r="R24" i="7" s="1"/>
  <c r="K29" i="5"/>
  <c r="H23" i="5"/>
  <c r="Q23" i="5" s="1"/>
  <c r="R23" i="5" s="1"/>
  <c r="L27" i="5"/>
  <c r="N27" i="5" s="1"/>
  <c r="O26" i="5"/>
  <c r="U27" i="5"/>
  <c r="M28" i="5"/>
  <c r="T27" i="5"/>
  <c r="I18" i="8" l="1"/>
  <c r="G19" i="8" s="1"/>
  <c r="H19" i="8" s="1"/>
  <c r="Q19" i="8" s="1"/>
  <c r="R19" i="8" s="1"/>
  <c r="M21" i="8"/>
  <c r="U20" i="8"/>
  <c r="T20" i="8"/>
  <c r="O19" i="8"/>
  <c r="L20" i="8"/>
  <c r="N20" i="8" s="1"/>
  <c r="K25" i="8"/>
  <c r="I24" i="7"/>
  <c r="G25" i="7" s="1"/>
  <c r="L28" i="5"/>
  <c r="N28" i="5" s="1"/>
  <c r="O27" i="5"/>
  <c r="U28" i="5"/>
  <c r="T28" i="5"/>
  <c r="M29" i="5"/>
  <c r="I23" i="5"/>
  <c r="G24" i="5" s="1"/>
  <c r="K30" i="5"/>
  <c r="I19" i="8" l="1"/>
  <c r="G20" i="8" s="1"/>
  <c r="H20" i="8" s="1"/>
  <c r="Q20" i="8" s="1"/>
  <c r="R20" i="8" s="1"/>
  <c r="O20" i="8"/>
  <c r="L21" i="8"/>
  <c r="N21" i="8" s="1"/>
  <c r="T21" i="8"/>
  <c r="M22" i="8"/>
  <c r="U21" i="8"/>
  <c r="K26" i="8"/>
  <c r="H25" i="7"/>
  <c r="Q25" i="7" s="1"/>
  <c r="R25" i="7" s="1"/>
  <c r="K31" i="5"/>
  <c r="H24" i="5"/>
  <c r="Q24" i="5" s="1"/>
  <c r="R24" i="5" s="1"/>
  <c r="L29" i="5"/>
  <c r="N29" i="5" s="1"/>
  <c r="O28" i="5"/>
  <c r="U29" i="5"/>
  <c r="T29" i="5"/>
  <c r="M30" i="5"/>
  <c r="I20" i="8" l="1"/>
  <c r="G21" i="8" s="1"/>
  <c r="H21" i="8" s="1"/>
  <c r="Q21" i="8" s="1"/>
  <c r="R21" i="8" s="1"/>
  <c r="O21" i="8"/>
  <c r="L22" i="8"/>
  <c r="N22" i="8" s="1"/>
  <c r="U22" i="8"/>
  <c r="M23" i="8"/>
  <c r="T22" i="8"/>
  <c r="K27" i="8"/>
  <c r="I25" i="7"/>
  <c r="G26" i="7" s="1"/>
  <c r="I24" i="5"/>
  <c r="G25" i="5" s="1"/>
  <c r="H25" i="5" s="1"/>
  <c r="L30" i="5"/>
  <c r="N30" i="5" s="1"/>
  <c r="O29" i="5"/>
  <c r="M31" i="5"/>
  <c r="T30" i="5"/>
  <c r="U30" i="5"/>
  <c r="K32" i="5"/>
  <c r="L23" i="8" l="1"/>
  <c r="N23" i="8" s="1"/>
  <c r="O22" i="8"/>
  <c r="T23" i="8"/>
  <c r="M24" i="8"/>
  <c r="U23" i="8"/>
  <c r="I21" i="8"/>
  <c r="G22" i="8" s="1"/>
  <c r="K28" i="8"/>
  <c r="H26" i="7"/>
  <c r="Q26" i="7" s="1"/>
  <c r="R26" i="7" s="1"/>
  <c r="Q25" i="5"/>
  <c r="R25" i="5" s="1"/>
  <c r="I25" i="5"/>
  <c r="G26" i="5" s="1"/>
  <c r="H26" i="5" s="1"/>
  <c r="L31" i="5"/>
  <c r="N31" i="5" s="1"/>
  <c r="O30" i="5"/>
  <c r="T31" i="5"/>
  <c r="M32" i="5"/>
  <c r="U31" i="5"/>
  <c r="K33" i="5"/>
  <c r="U24" i="8" l="1"/>
  <c r="T24" i="8"/>
  <c r="M25" i="8"/>
  <c r="L24" i="8"/>
  <c r="N24" i="8" s="1"/>
  <c r="O23" i="8"/>
  <c r="K29" i="8"/>
  <c r="H22" i="8"/>
  <c r="Q22" i="8" s="1"/>
  <c r="R22" i="8" s="1"/>
  <c r="I26" i="7"/>
  <c r="G27" i="7" s="1"/>
  <c r="Q26" i="5"/>
  <c r="R26" i="5" s="1"/>
  <c r="I26" i="5"/>
  <c r="G27" i="5" s="1"/>
  <c r="H27" i="5" s="1"/>
  <c r="L32" i="5"/>
  <c r="N32" i="5" s="1"/>
  <c r="O31" i="5"/>
  <c r="T32" i="5"/>
  <c r="U32" i="5"/>
  <c r="M33" i="5"/>
  <c r="K34" i="5"/>
  <c r="L25" i="8" l="1"/>
  <c r="N25" i="8" s="1"/>
  <c r="O24" i="8"/>
  <c r="U25" i="8"/>
  <c r="M26" i="8"/>
  <c r="T25" i="8"/>
  <c r="I22" i="8"/>
  <c r="G23" i="8" s="1"/>
  <c r="H23" i="8" s="1"/>
  <c r="Q23" i="8" s="1"/>
  <c r="R23" i="8" s="1"/>
  <c r="K30" i="8"/>
  <c r="H27" i="7"/>
  <c r="Q27" i="7" s="1"/>
  <c r="R27" i="7" s="1"/>
  <c r="Q27" i="5"/>
  <c r="R27" i="5" s="1"/>
  <c r="I27" i="5"/>
  <c r="G28" i="5" s="1"/>
  <c r="L33" i="5"/>
  <c r="N33" i="5" s="1"/>
  <c r="O32" i="5"/>
  <c r="T33" i="5"/>
  <c r="M34" i="5"/>
  <c r="U33" i="5"/>
  <c r="K35" i="5"/>
  <c r="M27" i="8" l="1"/>
  <c r="U26" i="8"/>
  <c r="T26" i="8"/>
  <c r="L26" i="8"/>
  <c r="N26" i="8" s="1"/>
  <c r="O25" i="8"/>
  <c r="I23" i="8"/>
  <c r="G24" i="8" s="1"/>
  <c r="K31" i="8"/>
  <c r="I27" i="7"/>
  <c r="G28" i="7" s="1"/>
  <c r="H28" i="5"/>
  <c r="Q28" i="5" s="1"/>
  <c r="R28" i="5" s="1"/>
  <c r="M35" i="5"/>
  <c r="T34" i="5"/>
  <c r="U34" i="5"/>
  <c r="K36" i="5"/>
  <c r="L34" i="5"/>
  <c r="N34" i="5" s="1"/>
  <c r="O33" i="5"/>
  <c r="O26" i="8" l="1"/>
  <c r="L27" i="8"/>
  <c r="M28" i="8"/>
  <c r="U27" i="8"/>
  <c r="T27" i="8"/>
  <c r="N27" i="8"/>
  <c r="H24" i="8"/>
  <c r="Q24" i="8" s="1"/>
  <c r="R24" i="8" s="1"/>
  <c r="K32" i="8"/>
  <c r="H28" i="7"/>
  <c r="Q28" i="7" s="1"/>
  <c r="R28" i="7" s="1"/>
  <c r="I28" i="5"/>
  <c r="G29" i="5" s="1"/>
  <c r="H29" i="5" s="1"/>
  <c r="Q29" i="5" s="1"/>
  <c r="R29" i="5" s="1"/>
  <c r="L35" i="5"/>
  <c r="N35" i="5" s="1"/>
  <c r="O34" i="5"/>
  <c r="T35" i="5"/>
  <c r="U35" i="5"/>
  <c r="M36" i="5"/>
  <c r="K37" i="5"/>
  <c r="T28" i="8" l="1"/>
  <c r="M29" i="8"/>
  <c r="U28" i="8"/>
  <c r="O27" i="8"/>
  <c r="L28" i="8"/>
  <c r="N28" i="8" s="1"/>
  <c r="I24" i="8"/>
  <c r="G25" i="8" s="1"/>
  <c r="K33" i="8"/>
  <c r="I28" i="7"/>
  <c r="G29" i="7" s="1"/>
  <c r="I29" i="5"/>
  <c r="G30" i="5" s="1"/>
  <c r="H30" i="5" s="1"/>
  <c r="Q30" i="5" s="1"/>
  <c r="R30" i="5" s="1"/>
  <c r="U36" i="5"/>
  <c r="M37" i="5"/>
  <c r="T36" i="5"/>
  <c r="L36" i="5"/>
  <c r="N36" i="5" s="1"/>
  <c r="O35" i="5"/>
  <c r="K38" i="5"/>
  <c r="U29" i="8" l="1"/>
  <c r="T29" i="8"/>
  <c r="M30" i="8"/>
  <c r="O28" i="8"/>
  <c r="L29" i="8"/>
  <c r="N29" i="8" s="1"/>
  <c r="K34" i="8"/>
  <c r="H25" i="8"/>
  <c r="Q25" i="8" s="1"/>
  <c r="R25" i="8" s="1"/>
  <c r="H29" i="7"/>
  <c r="Q29" i="7" s="1"/>
  <c r="R29" i="7" s="1"/>
  <c r="I30" i="5"/>
  <c r="G31" i="5" s="1"/>
  <c r="H31" i="5" s="1"/>
  <c r="Q31" i="5" s="1"/>
  <c r="R31" i="5" s="1"/>
  <c r="L37" i="5"/>
  <c r="N37" i="5" s="1"/>
  <c r="O36" i="5"/>
  <c r="T37" i="5"/>
  <c r="U37" i="5"/>
  <c r="M38" i="5"/>
  <c r="K39" i="5"/>
  <c r="T30" i="8" l="1"/>
  <c r="U30" i="8"/>
  <c r="M31" i="8"/>
  <c r="L30" i="8"/>
  <c r="N30" i="8" s="1"/>
  <c r="O29" i="8"/>
  <c r="I25" i="8"/>
  <c r="G26" i="8" s="1"/>
  <c r="K35" i="8"/>
  <c r="I29" i="7"/>
  <c r="G30" i="7" s="1"/>
  <c r="I31" i="5"/>
  <c r="G32" i="5" s="1"/>
  <c r="L38" i="5"/>
  <c r="N38" i="5" s="1"/>
  <c r="O37" i="5"/>
  <c r="K40" i="5"/>
  <c r="M39" i="5"/>
  <c r="T38" i="5"/>
  <c r="U38" i="5"/>
  <c r="M32" i="8" l="1"/>
  <c r="U31" i="8"/>
  <c r="T31" i="8"/>
  <c r="L31" i="8"/>
  <c r="N31" i="8" s="1"/>
  <c r="O30" i="8"/>
  <c r="H26" i="8"/>
  <c r="Q26" i="8" s="1"/>
  <c r="R26" i="8" s="1"/>
  <c r="K36" i="8"/>
  <c r="H30" i="7"/>
  <c r="Q30" i="7" s="1"/>
  <c r="R30" i="7" s="1"/>
  <c r="H32" i="5"/>
  <c r="Q32" i="5" s="1"/>
  <c r="R32" i="5" s="1"/>
  <c r="L39" i="5"/>
  <c r="N39" i="5" s="1"/>
  <c r="O38" i="5"/>
  <c r="M40" i="5"/>
  <c r="T39" i="5"/>
  <c r="U39" i="5"/>
  <c r="K41" i="5"/>
  <c r="L32" i="8" l="1"/>
  <c r="N32" i="8" s="1"/>
  <c r="O31" i="8"/>
  <c r="M33" i="8"/>
  <c r="T32" i="8"/>
  <c r="U32" i="8"/>
  <c r="I26" i="8"/>
  <c r="G27" i="8" s="1"/>
  <c r="K37" i="8"/>
  <c r="I30" i="7"/>
  <c r="G31" i="7" s="1"/>
  <c r="I32" i="5"/>
  <c r="G33" i="5" s="1"/>
  <c r="H33" i="5" s="1"/>
  <c r="Q33" i="5" s="1"/>
  <c r="R33" i="5" s="1"/>
  <c r="L40" i="5"/>
  <c r="N40" i="5" s="1"/>
  <c r="O39" i="5"/>
  <c r="K42" i="5"/>
  <c r="U40" i="5"/>
  <c r="M41" i="5"/>
  <c r="T40" i="5"/>
  <c r="T33" i="8" l="1"/>
  <c r="U33" i="8"/>
  <c r="M34" i="8"/>
  <c r="O32" i="8"/>
  <c r="L33" i="8"/>
  <c r="N33" i="8" s="1"/>
  <c r="H27" i="8"/>
  <c r="Q27" i="8" s="1"/>
  <c r="R27" i="8" s="1"/>
  <c r="K38" i="8"/>
  <c r="H31" i="7"/>
  <c r="Q31" i="7" s="1"/>
  <c r="R31" i="7" s="1"/>
  <c r="I33" i="5"/>
  <c r="G34" i="5" s="1"/>
  <c r="H34" i="5" s="1"/>
  <c r="Q34" i="5" s="1"/>
  <c r="R34" i="5" s="1"/>
  <c r="U41" i="5"/>
  <c r="M42" i="5"/>
  <c r="T41" i="5"/>
  <c r="L41" i="5"/>
  <c r="N41" i="5" s="1"/>
  <c r="O40" i="5"/>
  <c r="K43" i="5"/>
  <c r="U34" i="8" l="1"/>
  <c r="T34" i="8"/>
  <c r="M35" i="8"/>
  <c r="L34" i="8"/>
  <c r="N34" i="8" s="1"/>
  <c r="O33" i="8"/>
  <c r="I27" i="8"/>
  <c r="G28" i="8" s="1"/>
  <c r="H28" i="8" s="1"/>
  <c r="Q28" i="8" s="1"/>
  <c r="R28" i="8" s="1"/>
  <c r="K39" i="8"/>
  <c r="I31" i="7"/>
  <c r="G32" i="7" s="1"/>
  <c r="I34" i="5"/>
  <c r="G35" i="5" s="1"/>
  <c r="H35" i="5" s="1"/>
  <c r="Q35" i="5" s="1"/>
  <c r="R35" i="5" s="1"/>
  <c r="L42" i="5"/>
  <c r="N42" i="5" s="1"/>
  <c r="O41" i="5"/>
  <c r="K44" i="5"/>
  <c r="U42" i="5"/>
  <c r="M43" i="5"/>
  <c r="T42" i="5"/>
  <c r="O34" i="8" l="1"/>
  <c r="L35" i="8"/>
  <c r="N35" i="8" s="1"/>
  <c r="M36" i="8"/>
  <c r="T35" i="8"/>
  <c r="U35" i="8"/>
  <c r="K40" i="8"/>
  <c r="I28" i="8"/>
  <c r="G29" i="8" s="1"/>
  <c r="H32" i="7"/>
  <c r="Q32" i="7" s="1"/>
  <c r="R32" i="7" s="1"/>
  <c r="I35" i="5"/>
  <c r="G36" i="5" s="1"/>
  <c r="H36" i="5" s="1"/>
  <c r="Q36" i="5" s="1"/>
  <c r="R36" i="5" s="1"/>
  <c r="L43" i="5"/>
  <c r="N43" i="5" s="1"/>
  <c r="O42" i="5"/>
  <c r="U43" i="5"/>
  <c r="T43" i="5"/>
  <c r="M44" i="5"/>
  <c r="K45" i="5"/>
  <c r="O35" i="8" l="1"/>
  <c r="L36" i="8"/>
  <c r="N36" i="8" s="1"/>
  <c r="U36" i="8"/>
  <c r="T36" i="8"/>
  <c r="M37" i="8"/>
  <c r="K41" i="8"/>
  <c r="H29" i="8"/>
  <c r="Q29" i="8" s="1"/>
  <c r="R29" i="8" s="1"/>
  <c r="I32" i="7"/>
  <c r="G33" i="7" s="1"/>
  <c r="I36" i="5"/>
  <c r="G37" i="5" s="1"/>
  <c r="L44" i="5"/>
  <c r="N44" i="5" s="1"/>
  <c r="O43" i="5"/>
  <c r="K46" i="5"/>
  <c r="U44" i="5"/>
  <c r="T44" i="5"/>
  <c r="M45" i="5"/>
  <c r="L37" i="8" l="1"/>
  <c r="N37" i="8" s="1"/>
  <c r="O36" i="8"/>
  <c r="M38" i="8"/>
  <c r="U37" i="8"/>
  <c r="T37" i="8"/>
  <c r="I29" i="8"/>
  <c r="G30" i="8" s="1"/>
  <c r="K42" i="8"/>
  <c r="H33" i="7"/>
  <c r="Q33" i="7" s="1"/>
  <c r="R33" i="7" s="1"/>
  <c r="H37" i="5"/>
  <c r="Q37" i="5" s="1"/>
  <c r="R37" i="5" s="1"/>
  <c r="L45" i="5"/>
  <c r="N45" i="5" s="1"/>
  <c r="O44" i="5"/>
  <c r="T45" i="5"/>
  <c r="U45" i="5"/>
  <c r="M46" i="5"/>
  <c r="K47" i="5"/>
  <c r="T38" i="8" l="1"/>
  <c r="M39" i="8"/>
  <c r="U38" i="8"/>
  <c r="O37" i="8"/>
  <c r="L38" i="8"/>
  <c r="N38" i="8" s="1"/>
  <c r="K43" i="8"/>
  <c r="H30" i="8"/>
  <c r="Q30" i="8" s="1"/>
  <c r="R30" i="8" s="1"/>
  <c r="I33" i="7"/>
  <c r="G34" i="7" s="1"/>
  <c r="I37" i="5"/>
  <c r="G38" i="5" s="1"/>
  <c r="H38" i="5" s="1"/>
  <c r="Q38" i="5" s="1"/>
  <c r="R38" i="5" s="1"/>
  <c r="L46" i="5"/>
  <c r="N46" i="5" s="1"/>
  <c r="O45" i="5"/>
  <c r="T46" i="5"/>
  <c r="M47" i="5"/>
  <c r="U46" i="5"/>
  <c r="K48" i="5"/>
  <c r="U39" i="8" l="1"/>
  <c r="M40" i="8"/>
  <c r="T39" i="8"/>
  <c r="L39" i="8"/>
  <c r="N39" i="8" s="1"/>
  <c r="O38" i="8"/>
  <c r="K44" i="8"/>
  <c r="I30" i="8"/>
  <c r="G31" i="8" s="1"/>
  <c r="H34" i="7"/>
  <c r="Q34" i="7" s="1"/>
  <c r="R34" i="7" s="1"/>
  <c r="I38" i="5"/>
  <c r="G39" i="5" s="1"/>
  <c r="H39" i="5" s="1"/>
  <c r="Q39" i="5" s="1"/>
  <c r="R39" i="5" s="1"/>
  <c r="K49" i="5"/>
  <c r="L47" i="5"/>
  <c r="N47" i="5" s="1"/>
  <c r="O46" i="5"/>
  <c r="T47" i="5"/>
  <c r="M48" i="5"/>
  <c r="U47" i="5"/>
  <c r="U40" i="8" l="1"/>
  <c r="M41" i="8"/>
  <c r="T40" i="8"/>
  <c r="O39" i="8"/>
  <c r="L40" i="8"/>
  <c r="N40" i="8" s="1"/>
  <c r="K45" i="8"/>
  <c r="H31" i="8"/>
  <c r="Q31" i="8" s="1"/>
  <c r="R31" i="8" s="1"/>
  <c r="I34" i="7"/>
  <c r="G35" i="7" s="1"/>
  <c r="I39" i="5"/>
  <c r="G40" i="5" s="1"/>
  <c r="H40" i="5" s="1"/>
  <c r="Q40" i="5" s="1"/>
  <c r="R40" i="5" s="1"/>
  <c r="L48" i="5"/>
  <c r="N48" i="5" s="1"/>
  <c r="O47" i="5"/>
  <c r="U48" i="5"/>
  <c r="T48" i="5"/>
  <c r="M49" i="5"/>
  <c r="K50" i="5"/>
  <c r="O40" i="8" l="1"/>
  <c r="L41" i="8"/>
  <c r="N41" i="8" s="1"/>
  <c r="M42" i="8"/>
  <c r="T41" i="8"/>
  <c r="U41" i="8"/>
  <c r="I31" i="8"/>
  <c r="G32" i="8" s="1"/>
  <c r="K46" i="8"/>
  <c r="H35" i="7"/>
  <c r="Q35" i="7" s="1"/>
  <c r="R35" i="7" s="1"/>
  <c r="I40" i="5"/>
  <c r="G41" i="5" s="1"/>
  <c r="H41" i="5" s="1"/>
  <c r="Q41" i="5" s="1"/>
  <c r="R41" i="5" s="1"/>
  <c r="K51" i="5"/>
  <c r="U49" i="5"/>
  <c r="M50" i="5"/>
  <c r="T49" i="5"/>
  <c r="L49" i="5"/>
  <c r="N49" i="5" s="1"/>
  <c r="O48" i="5"/>
  <c r="L42" i="8" l="1"/>
  <c r="N42" i="8" s="1"/>
  <c r="O41" i="8"/>
  <c r="U42" i="8"/>
  <c r="M43" i="8"/>
  <c r="T42" i="8"/>
  <c r="K47" i="8"/>
  <c r="H32" i="8"/>
  <c r="Q32" i="8" s="1"/>
  <c r="R32" i="8" s="1"/>
  <c r="I35" i="7"/>
  <c r="G36" i="7" s="1"/>
  <c r="I41" i="5"/>
  <c r="G42" i="5" s="1"/>
  <c r="H42" i="5" s="1"/>
  <c r="Q42" i="5" s="1"/>
  <c r="R42" i="5" s="1"/>
  <c r="M51" i="5"/>
  <c r="U50" i="5"/>
  <c r="T50" i="5"/>
  <c r="K52" i="5"/>
  <c r="L50" i="5"/>
  <c r="N50" i="5" s="1"/>
  <c r="O49" i="5"/>
  <c r="M44" i="8" l="1"/>
  <c r="T43" i="8"/>
  <c r="U43" i="8"/>
  <c r="O42" i="8"/>
  <c r="L43" i="8"/>
  <c r="N43" i="8" s="1"/>
  <c r="I32" i="8"/>
  <c r="G33" i="8" s="1"/>
  <c r="K48" i="8"/>
  <c r="H36" i="7"/>
  <c r="Q36" i="7" s="1"/>
  <c r="R36" i="7" s="1"/>
  <c r="I42" i="5"/>
  <c r="G43" i="5" s="1"/>
  <c r="H43" i="5" s="1"/>
  <c r="Q43" i="5" s="1"/>
  <c r="R43" i="5" s="1"/>
  <c r="L51" i="5"/>
  <c r="N51" i="5" s="1"/>
  <c r="O50" i="5"/>
  <c r="K53" i="5"/>
  <c r="U51" i="5"/>
  <c r="M52" i="5"/>
  <c r="T51" i="5"/>
  <c r="O43" i="8" l="1"/>
  <c r="L44" i="8"/>
  <c r="N44" i="8" s="1"/>
  <c r="M45" i="8"/>
  <c r="U44" i="8"/>
  <c r="T44" i="8"/>
  <c r="K49" i="8"/>
  <c r="H33" i="8"/>
  <c r="Q33" i="8" s="1"/>
  <c r="R33" i="8" s="1"/>
  <c r="I36" i="7"/>
  <c r="G37" i="7" s="1"/>
  <c r="I43" i="5"/>
  <c r="G44" i="5" s="1"/>
  <c r="H44" i="5" s="1"/>
  <c r="Q44" i="5" s="1"/>
  <c r="R44" i="5" s="1"/>
  <c r="L52" i="5"/>
  <c r="O51" i="5"/>
  <c r="K54" i="5"/>
  <c r="M53" i="5"/>
  <c r="N52" i="5"/>
  <c r="U52" i="5"/>
  <c r="T52" i="5"/>
  <c r="M46" i="8" l="1"/>
  <c r="U45" i="8"/>
  <c r="T45" i="8"/>
  <c r="O44" i="8"/>
  <c r="L45" i="8"/>
  <c r="N45" i="8" s="1"/>
  <c r="K50" i="8"/>
  <c r="I33" i="8"/>
  <c r="G34" i="8" s="1"/>
  <c r="H37" i="7"/>
  <c r="Q37" i="7" s="1"/>
  <c r="R37" i="7" s="1"/>
  <c r="I44" i="5"/>
  <c r="G45" i="5" s="1"/>
  <c r="H45" i="5" s="1"/>
  <c r="Q45" i="5" s="1"/>
  <c r="R45" i="5" s="1"/>
  <c r="K55" i="5"/>
  <c r="L53" i="5"/>
  <c r="N53" i="5" s="1"/>
  <c r="O52" i="5"/>
  <c r="T53" i="5"/>
  <c r="U53" i="5"/>
  <c r="M54" i="5"/>
  <c r="O45" i="8" l="1"/>
  <c r="L46" i="8"/>
  <c r="N46" i="8" s="1"/>
  <c r="M47" i="8"/>
  <c r="U46" i="8"/>
  <c r="T46" i="8"/>
  <c r="H34" i="8"/>
  <c r="Q34" i="8" s="1"/>
  <c r="R34" i="8" s="1"/>
  <c r="K51" i="8"/>
  <c r="I37" i="7"/>
  <c r="G38" i="7" s="1"/>
  <c r="H38" i="7" s="1"/>
  <c r="Q38" i="7" s="1"/>
  <c r="R38" i="7" s="1"/>
  <c r="I45" i="5"/>
  <c r="G46" i="5" s="1"/>
  <c r="H46" i="5" s="1"/>
  <c r="Q46" i="5" s="1"/>
  <c r="R46" i="5" s="1"/>
  <c r="L54" i="5"/>
  <c r="N54" i="5" s="1"/>
  <c r="O53" i="5"/>
  <c r="M55" i="5"/>
  <c r="U54" i="5"/>
  <c r="T54" i="5"/>
  <c r="K56" i="5"/>
  <c r="L47" i="8" l="1"/>
  <c r="N47" i="8" s="1"/>
  <c r="O46" i="8"/>
  <c r="T47" i="8"/>
  <c r="U47" i="8"/>
  <c r="M48" i="8"/>
  <c r="I34" i="8"/>
  <c r="G35" i="8" s="1"/>
  <c r="K52" i="8"/>
  <c r="I38" i="7"/>
  <c r="G39" i="7" s="1"/>
  <c r="I46" i="5"/>
  <c r="G47" i="5" s="1"/>
  <c r="H47" i="5" s="1"/>
  <c r="Q47" i="5" s="1"/>
  <c r="R47" i="5" s="1"/>
  <c r="L55" i="5"/>
  <c r="N55" i="5" s="1"/>
  <c r="O54" i="5"/>
  <c r="K57" i="5"/>
  <c r="M56" i="5"/>
  <c r="T55" i="5"/>
  <c r="U55" i="5"/>
  <c r="I47" i="5" l="1"/>
  <c r="G48" i="5" s="1"/>
  <c r="H48" i="5" s="1"/>
  <c r="Q48" i="5" s="1"/>
  <c r="R48" i="5" s="1"/>
  <c r="L48" i="8"/>
  <c r="N48" i="8" s="1"/>
  <c r="O47" i="8"/>
  <c r="U48" i="8"/>
  <c r="M49" i="8"/>
  <c r="T48" i="8"/>
  <c r="H35" i="8"/>
  <c r="Q35" i="8" s="1"/>
  <c r="R35" i="8" s="1"/>
  <c r="K53" i="8"/>
  <c r="H39" i="7"/>
  <c r="Q39" i="7" s="1"/>
  <c r="R39" i="7" s="1"/>
  <c r="M57" i="5"/>
  <c r="U56" i="5"/>
  <c r="T56" i="5"/>
  <c r="L56" i="5"/>
  <c r="N56" i="5" s="1"/>
  <c r="O55" i="5"/>
  <c r="K58" i="5"/>
  <c r="L49" i="8" l="1"/>
  <c r="N49" i="8" s="1"/>
  <c r="O48" i="8"/>
  <c r="U49" i="8"/>
  <c r="M50" i="8"/>
  <c r="T49" i="8"/>
  <c r="I35" i="8"/>
  <c r="G36" i="8" s="1"/>
  <c r="K54" i="8"/>
  <c r="I39" i="7"/>
  <c r="G40" i="7" s="1"/>
  <c r="I48" i="5"/>
  <c r="G49" i="5" s="1"/>
  <c r="H49" i="5" s="1"/>
  <c r="L57" i="5"/>
  <c r="N57" i="5" s="1"/>
  <c r="O56" i="5"/>
  <c r="K59" i="5"/>
  <c r="M58" i="5"/>
  <c r="T57" i="5"/>
  <c r="U57" i="5"/>
  <c r="L50" i="8" l="1"/>
  <c r="N50" i="8" s="1"/>
  <c r="O49" i="8"/>
  <c r="M51" i="8"/>
  <c r="U50" i="8"/>
  <c r="T50" i="8"/>
  <c r="K55" i="8"/>
  <c r="H36" i="8"/>
  <c r="Q36" i="8" s="1"/>
  <c r="R36" i="8" s="1"/>
  <c r="H40" i="7"/>
  <c r="Q40" i="7" s="1"/>
  <c r="R40" i="7" s="1"/>
  <c r="Q49" i="5"/>
  <c r="R49" i="5" s="1"/>
  <c r="I49" i="5"/>
  <c r="G50" i="5" s="1"/>
  <c r="K60" i="5"/>
  <c r="L58" i="5"/>
  <c r="N58" i="5" s="1"/>
  <c r="O57" i="5"/>
  <c r="U58" i="5"/>
  <c r="T58" i="5"/>
  <c r="M59" i="5"/>
  <c r="T51" i="8" l="1"/>
  <c r="U51" i="8"/>
  <c r="M52" i="8"/>
  <c r="L51" i="8"/>
  <c r="N51" i="8" s="1"/>
  <c r="O50" i="8"/>
  <c r="I36" i="8"/>
  <c r="G37" i="8" s="1"/>
  <c r="K56" i="8"/>
  <c r="I40" i="7"/>
  <c r="G41" i="7" s="1"/>
  <c r="H41" i="7" s="1"/>
  <c r="Q41" i="7" s="1"/>
  <c r="R41" i="7" s="1"/>
  <c r="H50" i="5"/>
  <c r="Q50" i="5" s="1"/>
  <c r="R50" i="5" s="1"/>
  <c r="U59" i="5"/>
  <c r="M60" i="5"/>
  <c r="T59" i="5"/>
  <c r="L59" i="5"/>
  <c r="N59" i="5" s="1"/>
  <c r="O58" i="5"/>
  <c r="K61" i="5"/>
  <c r="O51" i="8" l="1"/>
  <c r="L52" i="8"/>
  <c r="N52" i="8" s="1"/>
  <c r="M53" i="8"/>
  <c r="U52" i="8"/>
  <c r="T52" i="8"/>
  <c r="K57" i="8"/>
  <c r="H37" i="8"/>
  <c r="Q37" i="8" s="1"/>
  <c r="R37" i="8" s="1"/>
  <c r="I41" i="7"/>
  <c r="G42" i="7" s="1"/>
  <c r="I50" i="5"/>
  <c r="G51" i="5" s="1"/>
  <c r="H51" i="5" s="1"/>
  <c r="Q51" i="5" s="1"/>
  <c r="R51" i="5" s="1"/>
  <c r="L60" i="5"/>
  <c r="N60" i="5" s="1"/>
  <c r="O59" i="5"/>
  <c r="K62" i="5"/>
  <c r="U60" i="5"/>
  <c r="T60" i="5"/>
  <c r="M61" i="5"/>
  <c r="M54" i="8" l="1"/>
  <c r="U53" i="8"/>
  <c r="T53" i="8"/>
  <c r="L53" i="8"/>
  <c r="N53" i="8" s="1"/>
  <c r="O52" i="8"/>
  <c r="I37" i="8"/>
  <c r="G38" i="8" s="1"/>
  <c r="K58" i="8"/>
  <c r="H42" i="7"/>
  <c r="Q42" i="7" s="1"/>
  <c r="R42" i="7" s="1"/>
  <c r="I51" i="5"/>
  <c r="G52" i="5" s="1"/>
  <c r="H52" i="5" s="1"/>
  <c r="Q52" i="5" s="1"/>
  <c r="R52" i="5" s="1"/>
  <c r="L61" i="5"/>
  <c r="N61" i="5" s="1"/>
  <c r="O60" i="5"/>
  <c r="M62" i="5"/>
  <c r="T61" i="5"/>
  <c r="U61" i="5"/>
  <c r="K63" i="5"/>
  <c r="L54" i="8" l="1"/>
  <c r="N54" i="8" s="1"/>
  <c r="O53" i="8"/>
  <c r="U54" i="8"/>
  <c r="M55" i="8"/>
  <c r="T54" i="8"/>
  <c r="K59" i="8"/>
  <c r="H38" i="8"/>
  <c r="Q38" i="8" s="1"/>
  <c r="R38" i="8" s="1"/>
  <c r="I42" i="7"/>
  <c r="G43" i="7" s="1"/>
  <c r="H43" i="7" s="1"/>
  <c r="Q43" i="7" s="1"/>
  <c r="R43" i="7" s="1"/>
  <c r="I52" i="5"/>
  <c r="G53" i="5" s="1"/>
  <c r="H53" i="5" s="1"/>
  <c r="Q53" i="5" s="1"/>
  <c r="R53" i="5" s="1"/>
  <c r="L62" i="5"/>
  <c r="N62" i="5" s="1"/>
  <c r="O61" i="5"/>
  <c r="K64" i="5"/>
  <c r="M63" i="5"/>
  <c r="U62" i="5"/>
  <c r="T62" i="5"/>
  <c r="L55" i="8" l="1"/>
  <c r="N55" i="8" s="1"/>
  <c r="O54" i="8"/>
  <c r="T55" i="8"/>
  <c r="M56" i="8"/>
  <c r="U55" i="8"/>
  <c r="K60" i="8"/>
  <c r="I38" i="8"/>
  <c r="G39" i="8" s="1"/>
  <c r="I43" i="7"/>
  <c r="G44" i="7" s="1"/>
  <c r="I53" i="5"/>
  <c r="G54" i="5" s="1"/>
  <c r="K65" i="5"/>
  <c r="L63" i="5"/>
  <c r="N63" i="5" s="1"/>
  <c r="O62" i="5"/>
  <c r="U63" i="5"/>
  <c r="M64" i="5"/>
  <c r="T63" i="5"/>
  <c r="M57" i="8" l="1"/>
  <c r="U56" i="8"/>
  <c r="T56" i="8"/>
  <c r="L56" i="8"/>
  <c r="N56" i="8" s="1"/>
  <c r="O55" i="8"/>
  <c r="H39" i="8"/>
  <c r="Q39" i="8" s="1"/>
  <c r="R39" i="8" s="1"/>
  <c r="K61" i="8"/>
  <c r="H44" i="7"/>
  <c r="Q44" i="7" s="1"/>
  <c r="R44" i="7" s="1"/>
  <c r="H54" i="5"/>
  <c r="Q54" i="5" s="1"/>
  <c r="R54" i="5" s="1"/>
  <c r="U64" i="5"/>
  <c r="M65" i="5"/>
  <c r="T64" i="5"/>
  <c r="K66" i="5"/>
  <c r="L64" i="5"/>
  <c r="N64" i="5" s="1"/>
  <c r="O63" i="5"/>
  <c r="L57" i="8" l="1"/>
  <c r="N57" i="8" s="1"/>
  <c r="O56" i="8"/>
  <c r="U57" i="8"/>
  <c r="M58" i="8"/>
  <c r="T57" i="8"/>
  <c r="I39" i="8"/>
  <c r="G40" i="8" s="1"/>
  <c r="H40" i="8" s="1"/>
  <c r="Q40" i="8" s="1"/>
  <c r="R40" i="8" s="1"/>
  <c r="K62" i="8"/>
  <c r="I44" i="7"/>
  <c r="G45" i="7" s="1"/>
  <c r="H45" i="7" s="1"/>
  <c r="Q45" i="7" s="1"/>
  <c r="R45" i="7" s="1"/>
  <c r="I54" i="5"/>
  <c r="G55" i="5" s="1"/>
  <c r="H55" i="5" s="1"/>
  <c r="Q55" i="5" s="1"/>
  <c r="R55" i="5" s="1"/>
  <c r="L65" i="5"/>
  <c r="N65" i="5" s="1"/>
  <c r="O64" i="5"/>
  <c r="U65" i="5"/>
  <c r="T65" i="5"/>
  <c r="M66" i="5"/>
  <c r="M67" i="5" s="1"/>
  <c r="K67" i="5"/>
  <c r="L58" i="8" l="1"/>
  <c r="N58" i="8" s="1"/>
  <c r="O57" i="8"/>
  <c r="U58" i="8"/>
  <c r="M59" i="8"/>
  <c r="T58" i="8"/>
  <c r="K63" i="8"/>
  <c r="I40" i="8"/>
  <c r="G41" i="8" s="1"/>
  <c r="I45" i="7"/>
  <c r="G46" i="7" s="1"/>
  <c r="I55" i="5"/>
  <c r="G56" i="5" s="1"/>
  <c r="H56" i="5" s="1"/>
  <c r="Q56" i="5" s="1"/>
  <c r="R56" i="5" s="1"/>
  <c r="L66" i="5"/>
  <c r="N66" i="5" s="1"/>
  <c r="O65" i="5"/>
  <c r="U66" i="5"/>
  <c r="T66" i="5"/>
  <c r="K68" i="5"/>
  <c r="U59" i="8" l="1"/>
  <c r="T59" i="8"/>
  <c r="M60" i="8"/>
  <c r="L59" i="8"/>
  <c r="N59" i="8" s="1"/>
  <c r="O58" i="8"/>
  <c r="K64" i="8"/>
  <c r="H41" i="8"/>
  <c r="Q41" i="8" s="1"/>
  <c r="R41" i="8" s="1"/>
  <c r="H46" i="7"/>
  <c r="Q46" i="7" s="1"/>
  <c r="R46" i="7" s="1"/>
  <c r="I56" i="5"/>
  <c r="G57" i="5" s="1"/>
  <c r="H57" i="5" s="1"/>
  <c r="Q57" i="5" s="1"/>
  <c r="R57" i="5" s="1"/>
  <c r="L67" i="5"/>
  <c r="N67" i="5" s="1"/>
  <c r="L68" i="5" s="1"/>
  <c r="O66" i="5"/>
  <c r="T67" i="5"/>
  <c r="M68" i="5"/>
  <c r="U67" i="5"/>
  <c r="K69" i="5"/>
  <c r="M61" i="8" l="1"/>
  <c r="U60" i="8"/>
  <c r="T60" i="8"/>
  <c r="O59" i="8"/>
  <c r="L60" i="8"/>
  <c r="N60" i="8" s="1"/>
  <c r="K65" i="8"/>
  <c r="I41" i="8"/>
  <c r="G42" i="8" s="1"/>
  <c r="I46" i="7"/>
  <c r="G47" i="7" s="1"/>
  <c r="I57" i="5"/>
  <c r="G58" i="5" s="1"/>
  <c r="H58" i="5" s="1"/>
  <c r="Q58" i="5" s="1"/>
  <c r="R58" i="5" s="1"/>
  <c r="K70" i="5"/>
  <c r="N68" i="5"/>
  <c r="O67" i="5"/>
  <c r="M69" i="5"/>
  <c r="U68" i="5"/>
  <c r="T68" i="5"/>
  <c r="O60" i="8" l="1"/>
  <c r="L61" i="8"/>
  <c r="N61" i="8" s="1"/>
  <c r="M62" i="8"/>
  <c r="T61" i="8"/>
  <c r="U61" i="8"/>
  <c r="K66" i="8"/>
  <c r="H42" i="8"/>
  <c r="Q42" i="8" s="1"/>
  <c r="R42" i="8" s="1"/>
  <c r="H47" i="7"/>
  <c r="Q47" i="7" s="1"/>
  <c r="R47" i="7" s="1"/>
  <c r="M70" i="5"/>
  <c r="U69" i="5"/>
  <c r="T69" i="5"/>
  <c r="K71" i="5"/>
  <c r="L69" i="5"/>
  <c r="N69" i="5" s="1"/>
  <c r="L70" i="5" s="1"/>
  <c r="O68" i="5"/>
  <c r="I58" i="5"/>
  <c r="G59" i="5" s="1"/>
  <c r="L62" i="8" l="1"/>
  <c r="N62" i="8" s="1"/>
  <c r="O61" i="8"/>
  <c r="U62" i="8"/>
  <c r="T62" i="8"/>
  <c r="M63" i="8"/>
  <c r="I42" i="8"/>
  <c r="G43" i="8" s="1"/>
  <c r="K67" i="8"/>
  <c r="I47" i="7"/>
  <c r="G48" i="7" s="1"/>
  <c r="H48" i="7" s="1"/>
  <c r="N70" i="5"/>
  <c r="O69" i="5"/>
  <c r="T70" i="5"/>
  <c r="M71" i="5"/>
  <c r="U70" i="5"/>
  <c r="K72" i="5"/>
  <c r="K73" i="5" s="1"/>
  <c r="H59" i="5"/>
  <c r="Q59" i="5" s="1"/>
  <c r="R59" i="5" s="1"/>
  <c r="M64" i="8" l="1"/>
  <c r="U63" i="8"/>
  <c r="T63" i="8"/>
  <c r="O62" i="8"/>
  <c r="L63" i="8"/>
  <c r="N63" i="8" s="1"/>
  <c r="K68" i="8"/>
  <c r="H43" i="8"/>
  <c r="Q43" i="8" s="1"/>
  <c r="R43" i="8" s="1"/>
  <c r="Q48" i="7"/>
  <c r="R48" i="7" s="1"/>
  <c r="I48" i="7"/>
  <c r="G49" i="7" s="1"/>
  <c r="H49" i="7" s="1"/>
  <c r="Q49" i="7" s="1"/>
  <c r="R49" i="7" s="1"/>
  <c r="K74" i="5"/>
  <c r="L71" i="5"/>
  <c r="N71" i="5" s="1"/>
  <c r="O70" i="5"/>
  <c r="M72" i="5"/>
  <c r="M73" i="5" s="1"/>
  <c r="U71" i="5"/>
  <c r="T71" i="5"/>
  <c r="I59" i="5"/>
  <c r="G60" i="5" s="1"/>
  <c r="L64" i="8" l="1"/>
  <c r="N64" i="8" s="1"/>
  <c r="O63" i="8"/>
  <c r="U64" i="8"/>
  <c r="M65" i="8"/>
  <c r="T64" i="8"/>
  <c r="I43" i="8"/>
  <c r="G44" i="8" s="1"/>
  <c r="H44" i="8" s="1"/>
  <c r="Q44" i="8" s="1"/>
  <c r="R44" i="8" s="1"/>
  <c r="K69" i="8"/>
  <c r="I49" i="7"/>
  <c r="G50" i="7" s="1"/>
  <c r="U73" i="5"/>
  <c r="M74" i="5"/>
  <c r="M75" i="5" s="1"/>
  <c r="T73" i="5"/>
  <c r="T72" i="5"/>
  <c r="U72" i="5"/>
  <c r="K75" i="5"/>
  <c r="L72" i="5"/>
  <c r="N72" i="5" s="1"/>
  <c r="L73" i="5" s="1"/>
  <c r="N73" i="5" s="1"/>
  <c r="O71" i="5"/>
  <c r="H60" i="5"/>
  <c r="Q60" i="5" s="1"/>
  <c r="R60" i="5" s="1"/>
  <c r="O64" i="8" l="1"/>
  <c r="L65" i="8"/>
  <c r="N65" i="8" s="1"/>
  <c r="M66" i="8"/>
  <c r="T65" i="8"/>
  <c r="U65" i="8"/>
  <c r="K70" i="8"/>
  <c r="I44" i="8"/>
  <c r="G45" i="8" s="1"/>
  <c r="H50" i="7"/>
  <c r="Q50" i="7" s="1"/>
  <c r="R50" i="7" s="1"/>
  <c r="L74" i="5"/>
  <c r="N74" i="5" s="1"/>
  <c r="O74" i="5" s="1"/>
  <c r="O73" i="5"/>
  <c r="U74" i="5"/>
  <c r="T74" i="5"/>
  <c r="I60" i="5"/>
  <c r="G61" i="5" s="1"/>
  <c r="H61" i="5" s="1"/>
  <c r="Q61" i="5" s="1"/>
  <c r="R61" i="5" s="1"/>
  <c r="O72" i="5"/>
  <c r="O65" i="8" l="1"/>
  <c r="L66" i="8"/>
  <c r="N66" i="8" s="1"/>
  <c r="M67" i="8"/>
  <c r="T66" i="8"/>
  <c r="U66" i="8"/>
  <c r="K71" i="8"/>
  <c r="H45" i="8"/>
  <c r="Q45" i="8" s="1"/>
  <c r="R45" i="8" s="1"/>
  <c r="I50" i="7"/>
  <c r="G51" i="7" s="1"/>
  <c r="T75" i="5"/>
  <c r="T77" i="5" s="1"/>
  <c r="U75" i="5"/>
  <c r="L75" i="5"/>
  <c r="N75" i="5" s="1"/>
  <c r="O75" i="5" s="1"/>
  <c r="I61" i="5"/>
  <c r="G62" i="5" s="1"/>
  <c r="C45" i="6" l="1"/>
  <c r="C47" i="6" s="1"/>
  <c r="O77" i="5"/>
  <c r="L67" i="8"/>
  <c r="N67" i="8" s="1"/>
  <c r="O66" i="8"/>
  <c r="M68" i="8"/>
  <c r="U67" i="8"/>
  <c r="T67" i="8"/>
  <c r="I45" i="8"/>
  <c r="G46" i="8" s="1"/>
  <c r="H51" i="7"/>
  <c r="Q51" i="7" s="1"/>
  <c r="R51" i="7" s="1"/>
  <c r="H62" i="5"/>
  <c r="Q62" i="5" s="1"/>
  <c r="R62" i="5" s="1"/>
  <c r="T68" i="8" l="1"/>
  <c r="U68" i="8"/>
  <c r="M69" i="8"/>
  <c r="L68" i="8"/>
  <c r="N68" i="8" s="1"/>
  <c r="O67" i="8"/>
  <c r="H46" i="8"/>
  <c r="Q46" i="8" s="1"/>
  <c r="R46" i="8" s="1"/>
  <c r="I51" i="7"/>
  <c r="G52" i="7" s="1"/>
  <c r="H52" i="7" s="1"/>
  <c r="Q52" i="7" s="1"/>
  <c r="R52" i="7" s="1"/>
  <c r="I62" i="5"/>
  <c r="G63" i="5" s="1"/>
  <c r="H63" i="5" l="1"/>
  <c r="Q63" i="5" s="1"/>
  <c r="R63" i="5" s="1"/>
  <c r="I46" i="8"/>
  <c r="G47" i="8" s="1"/>
  <c r="H47" i="8" s="1"/>
  <c r="Q47" i="8" s="1"/>
  <c r="R47" i="8" s="1"/>
  <c r="U69" i="8"/>
  <c r="T69" i="8"/>
  <c r="M70" i="8"/>
  <c r="L69" i="8"/>
  <c r="N69" i="8" s="1"/>
  <c r="O68" i="8"/>
  <c r="I52" i="7"/>
  <c r="G53" i="7" s="1"/>
  <c r="I63" i="5" l="1"/>
  <c r="G64" i="5" s="1"/>
  <c r="H64" i="5" s="1"/>
  <c r="Q64" i="5" s="1"/>
  <c r="R64" i="5" s="1"/>
  <c r="L70" i="8"/>
  <c r="O69" i="8"/>
  <c r="T70" i="8"/>
  <c r="M71" i="8"/>
  <c r="U70" i="8"/>
  <c r="N70" i="8"/>
  <c r="I47" i="8"/>
  <c r="G48" i="8" s="1"/>
  <c r="H53" i="7"/>
  <c r="Q53" i="7" s="1"/>
  <c r="R53" i="7" s="1"/>
  <c r="U71" i="8" l="1"/>
  <c r="T71" i="8"/>
  <c r="T73" i="8" s="1"/>
  <c r="L71" i="8"/>
  <c r="N71" i="8" s="1"/>
  <c r="O71" i="8" s="1"/>
  <c r="O70" i="8"/>
  <c r="H48" i="8"/>
  <c r="Q48" i="8" s="1"/>
  <c r="R48" i="8" s="1"/>
  <c r="I53" i="7"/>
  <c r="G54" i="7" s="1"/>
  <c r="I64" i="5"/>
  <c r="G65" i="5" s="1"/>
  <c r="I48" i="8" l="1"/>
  <c r="G49" i="8" s="1"/>
  <c r="H54" i="7"/>
  <c r="Q54" i="7" s="1"/>
  <c r="R54" i="7" s="1"/>
  <c r="H65" i="5"/>
  <c r="Q65" i="5" s="1"/>
  <c r="R65" i="5" s="1"/>
  <c r="H49" i="8" l="1"/>
  <c r="Q49" i="8" s="1"/>
  <c r="R49" i="8" s="1"/>
  <c r="I54" i="7"/>
  <c r="G55" i="7" s="1"/>
  <c r="I65" i="5"/>
  <c r="G66" i="5" s="1"/>
  <c r="I49" i="8" l="1"/>
  <c r="G50" i="8" s="1"/>
  <c r="H55" i="7"/>
  <c r="Q55" i="7" s="1"/>
  <c r="R55" i="7" s="1"/>
  <c r="H66" i="5"/>
  <c r="Q66" i="5" s="1"/>
  <c r="R66" i="5" s="1"/>
  <c r="H50" i="8" l="1"/>
  <c r="Q50" i="8" s="1"/>
  <c r="R50" i="8" s="1"/>
  <c r="I55" i="7"/>
  <c r="G56" i="7" s="1"/>
  <c r="I66" i="5"/>
  <c r="G67" i="5" s="1"/>
  <c r="H67" i="5" s="1"/>
  <c r="Q67" i="5" s="1"/>
  <c r="R67" i="5" s="1"/>
  <c r="I50" i="8" l="1"/>
  <c r="G51" i="8" s="1"/>
  <c r="H56" i="7"/>
  <c r="Q56" i="7" s="1"/>
  <c r="R56" i="7" s="1"/>
  <c r="I67" i="5"/>
  <c r="G68" i="5" s="1"/>
  <c r="H68" i="5" s="1"/>
  <c r="Q68" i="5" s="1"/>
  <c r="R68" i="5" s="1"/>
  <c r="H51" i="8" l="1"/>
  <c r="Q51" i="8" s="1"/>
  <c r="R51" i="8" s="1"/>
  <c r="I56" i="7"/>
  <c r="G57" i="7" s="1"/>
  <c r="I68" i="5"/>
  <c r="G69" i="5" s="1"/>
  <c r="H69" i="5" s="1"/>
  <c r="Q69" i="5" s="1"/>
  <c r="R69" i="5" s="1"/>
  <c r="I51" i="8" l="1"/>
  <c r="G52" i="8" s="1"/>
  <c r="H57" i="7"/>
  <c r="Q57" i="7" s="1"/>
  <c r="R57" i="7" s="1"/>
  <c r="I69" i="5"/>
  <c r="G70" i="5" s="1"/>
  <c r="H70" i="5" s="1"/>
  <c r="Q70" i="5" s="1"/>
  <c r="R70" i="5" s="1"/>
  <c r="H52" i="8" l="1"/>
  <c r="Q52" i="8" s="1"/>
  <c r="R52" i="8" s="1"/>
  <c r="I57" i="7"/>
  <c r="G58" i="7" s="1"/>
  <c r="I70" i="5"/>
  <c r="G71" i="5" s="1"/>
  <c r="I52" i="8" l="1"/>
  <c r="G53" i="8" s="1"/>
  <c r="H58" i="7"/>
  <c r="Q58" i="7" s="1"/>
  <c r="R58" i="7" s="1"/>
  <c r="H71" i="5"/>
  <c r="Q71" i="5" s="1"/>
  <c r="R71" i="5" s="1"/>
  <c r="H53" i="8" l="1"/>
  <c r="Q53" i="8" s="1"/>
  <c r="R53" i="8" s="1"/>
  <c r="I58" i="7"/>
  <c r="G59" i="7" s="1"/>
  <c r="I71" i="5"/>
  <c r="G72" i="5" s="1"/>
  <c r="I53" i="8" l="1"/>
  <c r="G54" i="8" s="1"/>
  <c r="H59" i="7"/>
  <c r="Q59" i="7" s="1"/>
  <c r="R59" i="7" s="1"/>
  <c r="H72" i="5"/>
  <c r="Q72" i="5" s="1"/>
  <c r="R72" i="5" s="1"/>
  <c r="H54" i="8" l="1"/>
  <c r="Q54" i="8" s="1"/>
  <c r="R54" i="8" s="1"/>
  <c r="I59" i="7"/>
  <c r="G60" i="7" s="1"/>
  <c r="I72" i="5"/>
  <c r="G73" i="5" s="1"/>
  <c r="I54" i="8" l="1"/>
  <c r="G55" i="8" s="1"/>
  <c r="H60" i="7"/>
  <c r="Q60" i="7" s="1"/>
  <c r="R60" i="7" s="1"/>
  <c r="H73" i="5"/>
  <c r="Q73" i="5" s="1"/>
  <c r="R73" i="5" s="1"/>
  <c r="H55" i="8" l="1"/>
  <c r="Q55" i="8" s="1"/>
  <c r="R55" i="8" s="1"/>
  <c r="I60" i="7"/>
  <c r="G61" i="7" s="1"/>
  <c r="I73" i="5"/>
  <c r="G74" i="5" s="1"/>
  <c r="H74" i="5" s="1"/>
  <c r="Q74" i="5" s="1"/>
  <c r="R74" i="5" s="1"/>
  <c r="I55" i="8" l="1"/>
  <c r="G56" i="8" s="1"/>
  <c r="H61" i="7"/>
  <c r="Q61" i="7" s="1"/>
  <c r="R61" i="7" s="1"/>
  <c r="I74" i="5"/>
  <c r="G75" i="5" s="1"/>
  <c r="H56" i="8" l="1"/>
  <c r="Q56" i="8" s="1"/>
  <c r="R56" i="8" s="1"/>
  <c r="I61" i="7"/>
  <c r="G62" i="7" s="1"/>
  <c r="H75" i="5"/>
  <c r="I75" i="5" s="1"/>
  <c r="C42" i="6" s="1"/>
  <c r="C43" i="6" l="1"/>
  <c r="G40" i="6" s="1"/>
  <c r="I77" i="5"/>
  <c r="I56" i="8"/>
  <c r="G57" i="8" s="1"/>
  <c r="H62" i="7"/>
  <c r="Q62" i="7" s="1"/>
  <c r="R62" i="7" s="1"/>
  <c r="Q75" i="5"/>
  <c r="C49" i="6" l="1"/>
  <c r="G39" i="6" s="1"/>
  <c r="H57" i="8"/>
  <c r="Q57" i="8" s="1"/>
  <c r="R57" i="8" s="1"/>
  <c r="I62" i="7"/>
  <c r="G63" i="7" s="1"/>
  <c r="R75" i="5"/>
  <c r="Q77" i="5"/>
  <c r="K15" i="7" l="1"/>
  <c r="O15" i="7" s="1"/>
  <c r="C50" i="6"/>
  <c r="G41" i="6" s="1"/>
  <c r="I57" i="8"/>
  <c r="G58" i="8" s="1"/>
  <c r="H63" i="7"/>
  <c r="Q63" i="7" s="1"/>
  <c r="R63" i="7" s="1"/>
  <c r="K16" i="7" l="1"/>
  <c r="M16" i="7" s="1"/>
  <c r="H58" i="8"/>
  <c r="Q58" i="8" s="1"/>
  <c r="R58" i="8" s="1"/>
  <c r="I63" i="7"/>
  <c r="G64" i="7" s="1"/>
  <c r="M17" i="7" l="1"/>
  <c r="T16" i="7"/>
  <c r="U16" i="7"/>
  <c r="N16" i="7"/>
  <c r="O16" i="7" s="1"/>
  <c r="K17" i="7"/>
  <c r="K18" i="7" s="1"/>
  <c r="K19" i="7" s="1"/>
  <c r="I58" i="8"/>
  <c r="G59" i="8" s="1"/>
  <c r="H64" i="7"/>
  <c r="Q64" i="7" s="1"/>
  <c r="R64" i="7" s="1"/>
  <c r="T17" i="7" l="1"/>
  <c r="M18" i="7"/>
  <c r="T18" i="7" s="1"/>
  <c r="U17" i="7"/>
  <c r="L17" i="7"/>
  <c r="N17" i="7" s="1"/>
  <c r="O17" i="7" s="1"/>
  <c r="K20" i="7"/>
  <c r="M19" i="7"/>
  <c r="H59" i="8"/>
  <c r="Q59" i="8" s="1"/>
  <c r="R59" i="8" s="1"/>
  <c r="I64" i="7"/>
  <c r="G65" i="7" s="1"/>
  <c r="U18" i="7" l="1"/>
  <c r="L18" i="7"/>
  <c r="N18" i="7" s="1"/>
  <c r="O18" i="7" s="1"/>
  <c r="U19" i="7"/>
  <c r="M20" i="7"/>
  <c r="T19" i="7"/>
  <c r="K21" i="7"/>
  <c r="I59" i="8"/>
  <c r="G60" i="8" s="1"/>
  <c r="H65" i="7"/>
  <c r="Q65" i="7" s="1"/>
  <c r="R65" i="7" s="1"/>
  <c r="L19" i="7" l="1"/>
  <c r="N19" i="7" s="1"/>
  <c r="L20" i="7" s="1"/>
  <c r="N20" i="7" s="1"/>
  <c r="K22" i="7"/>
  <c r="U20" i="7"/>
  <c r="M21" i="7"/>
  <c r="T20" i="7"/>
  <c r="H60" i="8"/>
  <c r="Q60" i="8" s="1"/>
  <c r="R60" i="8" s="1"/>
  <c r="I65" i="7"/>
  <c r="G66" i="7" s="1"/>
  <c r="O19" i="7" l="1"/>
  <c r="L21" i="7"/>
  <c r="N21" i="7" s="1"/>
  <c r="O20" i="7"/>
  <c r="M22" i="7"/>
  <c r="T21" i="7"/>
  <c r="U21" i="7"/>
  <c r="K23" i="7"/>
  <c r="I60" i="8"/>
  <c r="G61" i="8" s="1"/>
  <c r="H66" i="7"/>
  <c r="Q66" i="7" s="1"/>
  <c r="R66" i="7" s="1"/>
  <c r="T22" i="7" l="1"/>
  <c r="U22" i="7"/>
  <c r="M23" i="7"/>
  <c r="K24" i="7"/>
  <c r="L22" i="7"/>
  <c r="N22" i="7" s="1"/>
  <c r="O21" i="7"/>
  <c r="H61" i="8"/>
  <c r="Q61" i="8" s="1"/>
  <c r="R61" i="8" s="1"/>
  <c r="I66" i="7"/>
  <c r="G67" i="7" s="1"/>
  <c r="K25" i="7" l="1"/>
  <c r="T23" i="7"/>
  <c r="U23" i="7"/>
  <c r="M24" i="7"/>
  <c r="L23" i="7"/>
  <c r="N23" i="7" s="1"/>
  <c r="O22" i="7"/>
  <c r="I61" i="8"/>
  <c r="G62" i="8" s="1"/>
  <c r="H67" i="7"/>
  <c r="Q67" i="7" s="1"/>
  <c r="R67" i="7" s="1"/>
  <c r="L24" i="7" l="1"/>
  <c r="N24" i="7" s="1"/>
  <c r="O23" i="7"/>
  <c r="T24" i="7"/>
  <c r="U24" i="7"/>
  <c r="M25" i="7"/>
  <c r="K26" i="7"/>
  <c r="H62" i="8"/>
  <c r="Q62" i="8" s="1"/>
  <c r="R62" i="8" s="1"/>
  <c r="I67" i="7"/>
  <c r="G68" i="7" s="1"/>
  <c r="U25" i="7" l="1"/>
  <c r="M26" i="7"/>
  <c r="T25" i="7"/>
  <c r="K27" i="7"/>
  <c r="L25" i="7"/>
  <c r="N25" i="7" s="1"/>
  <c r="O24" i="7"/>
  <c r="I62" i="8"/>
  <c r="G63" i="8" s="1"/>
  <c r="H68" i="7"/>
  <c r="Q68" i="7" s="1"/>
  <c r="R68" i="7" s="1"/>
  <c r="L26" i="7" l="1"/>
  <c r="N26" i="7" s="1"/>
  <c r="O25" i="7"/>
  <c r="K28" i="7"/>
  <c r="U26" i="7"/>
  <c r="M27" i="7"/>
  <c r="T26" i="7"/>
  <c r="H63" i="8"/>
  <c r="Q63" i="8" s="1"/>
  <c r="R63" i="8" s="1"/>
  <c r="I68" i="7"/>
  <c r="G69" i="7" s="1"/>
  <c r="K29" i="7" l="1"/>
  <c r="T27" i="7"/>
  <c r="U27" i="7"/>
  <c r="M28" i="7"/>
  <c r="L27" i="7"/>
  <c r="N27" i="7" s="1"/>
  <c r="O26" i="7"/>
  <c r="I63" i="8"/>
  <c r="G64" i="8" s="1"/>
  <c r="H69" i="7"/>
  <c r="Q69" i="7" s="1"/>
  <c r="R69" i="7" s="1"/>
  <c r="L28" i="7" l="1"/>
  <c r="N28" i="7" s="1"/>
  <c r="O27" i="7"/>
  <c r="M29" i="7"/>
  <c r="T28" i="7"/>
  <c r="U28" i="7"/>
  <c r="K30" i="7"/>
  <c r="H64" i="8"/>
  <c r="Q64" i="8" s="1"/>
  <c r="R64" i="8" s="1"/>
  <c r="I69" i="7"/>
  <c r="G70" i="7" s="1"/>
  <c r="U29" i="7" l="1"/>
  <c r="M30" i="7"/>
  <c r="T29" i="7"/>
  <c r="K31" i="7"/>
  <c r="L29" i="7"/>
  <c r="N29" i="7" s="1"/>
  <c r="O28" i="7"/>
  <c r="I64" i="8"/>
  <c r="G65" i="8" s="1"/>
  <c r="H70" i="7"/>
  <c r="Q70" i="7" s="1"/>
  <c r="R70" i="7" s="1"/>
  <c r="K32" i="7" l="1"/>
  <c r="T30" i="7"/>
  <c r="M31" i="7"/>
  <c r="U30" i="7"/>
  <c r="L30" i="7"/>
  <c r="N30" i="7" s="1"/>
  <c r="O29" i="7"/>
  <c r="H65" i="8"/>
  <c r="Q65" i="8" s="1"/>
  <c r="R65" i="8" s="1"/>
  <c r="I70" i="7"/>
  <c r="G71" i="7" s="1"/>
  <c r="T31" i="7" l="1"/>
  <c r="U31" i="7"/>
  <c r="M32" i="7"/>
  <c r="L31" i="7"/>
  <c r="N31" i="7" s="1"/>
  <c r="O30" i="7"/>
  <c r="K33" i="7"/>
  <c r="I65" i="8"/>
  <c r="G66" i="8" s="1"/>
  <c r="H71" i="7"/>
  <c r="Q71" i="7" s="1"/>
  <c r="R71" i="7" s="1"/>
  <c r="L32" i="7" l="1"/>
  <c r="N32" i="7" s="1"/>
  <c r="O31" i="7"/>
  <c r="U32" i="7"/>
  <c r="M33" i="7"/>
  <c r="T32" i="7"/>
  <c r="K34" i="7"/>
  <c r="H66" i="8"/>
  <c r="Q66" i="8" s="1"/>
  <c r="R66" i="8" s="1"/>
  <c r="I71" i="7"/>
  <c r="G72" i="7" s="1"/>
  <c r="T33" i="7" l="1"/>
  <c r="U33" i="7"/>
  <c r="M34" i="7"/>
  <c r="K35" i="7"/>
  <c r="L33" i="7"/>
  <c r="N33" i="7" s="1"/>
  <c r="O32" i="7"/>
  <c r="I66" i="8"/>
  <c r="G67" i="8" s="1"/>
  <c r="H72" i="7"/>
  <c r="Q72" i="7" s="1"/>
  <c r="R72" i="7" s="1"/>
  <c r="L34" i="7" l="1"/>
  <c r="N34" i="7" s="1"/>
  <c r="O33" i="7"/>
  <c r="K36" i="7"/>
  <c r="M35" i="7"/>
  <c r="T34" i="7"/>
  <c r="U34" i="7"/>
  <c r="H67" i="8"/>
  <c r="Q67" i="8" s="1"/>
  <c r="R67" i="8" s="1"/>
  <c r="I72" i="7"/>
  <c r="G73" i="7" s="1"/>
  <c r="K37" i="7" l="1"/>
  <c r="M36" i="7"/>
  <c r="T35" i="7"/>
  <c r="U35" i="7"/>
  <c r="L35" i="7"/>
  <c r="N35" i="7" s="1"/>
  <c r="O34" i="7"/>
  <c r="I67" i="8"/>
  <c r="G68" i="8" s="1"/>
  <c r="H73" i="7"/>
  <c r="Q73" i="7" s="1"/>
  <c r="R73" i="7" s="1"/>
  <c r="T36" i="7" l="1"/>
  <c r="U36" i="7"/>
  <c r="M37" i="7"/>
  <c r="L36" i="7"/>
  <c r="N36" i="7" s="1"/>
  <c r="O35" i="7"/>
  <c r="K38" i="7"/>
  <c r="H68" i="8"/>
  <c r="Q68" i="8" s="1"/>
  <c r="R68" i="8" s="1"/>
  <c r="I73" i="7"/>
  <c r="G74" i="7" s="1"/>
  <c r="L37" i="7" l="1"/>
  <c r="N37" i="7" s="1"/>
  <c r="O36" i="7"/>
  <c r="T37" i="7"/>
  <c r="U37" i="7"/>
  <c r="M38" i="7"/>
  <c r="K39" i="7"/>
  <c r="I68" i="8"/>
  <c r="G69" i="8" s="1"/>
  <c r="H74" i="7"/>
  <c r="Q74" i="7" s="1"/>
  <c r="R74" i="7" s="1"/>
  <c r="T38" i="7" l="1"/>
  <c r="U38" i="7"/>
  <c r="M39" i="7"/>
  <c r="K40" i="7"/>
  <c r="L38" i="7"/>
  <c r="N38" i="7" s="1"/>
  <c r="O37" i="7"/>
  <c r="H69" i="8"/>
  <c r="Q69" i="8" s="1"/>
  <c r="R69" i="8" s="1"/>
  <c r="I74" i="7"/>
  <c r="G75" i="7" s="1"/>
  <c r="K41" i="7" l="1"/>
  <c r="M40" i="7"/>
  <c r="T39" i="7"/>
  <c r="U39" i="7"/>
  <c r="L39" i="7"/>
  <c r="N39" i="7" s="1"/>
  <c r="O38" i="7"/>
  <c r="I69" i="8"/>
  <c r="G70" i="8" s="1"/>
  <c r="H75" i="7"/>
  <c r="Q75" i="7" s="1"/>
  <c r="T40" i="7" l="1"/>
  <c r="U40" i="7"/>
  <c r="M41" i="7"/>
  <c r="L40" i="7"/>
  <c r="N40" i="7" s="1"/>
  <c r="O39" i="7"/>
  <c r="K42" i="7"/>
  <c r="H70" i="8"/>
  <c r="Q70" i="8" s="1"/>
  <c r="R70" i="8" s="1"/>
  <c r="R75" i="7"/>
  <c r="Q77" i="7"/>
  <c r="I75" i="7"/>
  <c r="I77" i="7" s="1"/>
  <c r="L41" i="7" l="1"/>
  <c r="N41" i="7" s="1"/>
  <c r="O40" i="7"/>
  <c r="T41" i="7"/>
  <c r="U41" i="7"/>
  <c r="M42" i="7"/>
  <c r="K43" i="7"/>
  <c r="I70" i="8"/>
  <c r="G71" i="8" s="1"/>
  <c r="K44" i="7" l="1"/>
  <c r="U42" i="7"/>
  <c r="M43" i="7"/>
  <c r="T42" i="7"/>
  <c r="L42" i="7"/>
  <c r="N42" i="7" s="1"/>
  <c r="O41" i="7"/>
  <c r="H71" i="8"/>
  <c r="Q71" i="8" s="1"/>
  <c r="T43" i="7" l="1"/>
  <c r="U43" i="7"/>
  <c r="M44" i="7"/>
  <c r="L43" i="7"/>
  <c r="N43" i="7" s="1"/>
  <c r="O42" i="7"/>
  <c r="K45" i="7"/>
  <c r="R71" i="8"/>
  <c r="Q73" i="8"/>
  <c r="I71" i="8"/>
  <c r="I73" i="8" s="1"/>
  <c r="K46" i="7" l="1"/>
  <c r="L44" i="7"/>
  <c r="N44" i="7" s="1"/>
  <c r="O43" i="7"/>
  <c r="M45" i="7"/>
  <c r="T44" i="7"/>
  <c r="U44" i="7"/>
  <c r="L45" i="7" l="1"/>
  <c r="N45" i="7" s="1"/>
  <c r="O44" i="7"/>
  <c r="U45" i="7"/>
  <c r="M46" i="7"/>
  <c r="T45" i="7"/>
  <c r="K47" i="7"/>
  <c r="K48" i="7" l="1"/>
  <c r="L46" i="7"/>
  <c r="N46" i="7" s="1"/>
  <c r="O45" i="7"/>
  <c r="M47" i="7"/>
  <c r="T46" i="7"/>
  <c r="U46" i="7"/>
  <c r="L47" i="7" l="1"/>
  <c r="N47" i="7" s="1"/>
  <c r="O46" i="7"/>
  <c r="M48" i="7"/>
  <c r="T47" i="7"/>
  <c r="U47" i="7"/>
  <c r="K49" i="7"/>
  <c r="U48" i="7" l="1"/>
  <c r="M49" i="7"/>
  <c r="T48" i="7"/>
  <c r="K50" i="7"/>
  <c r="L48" i="7"/>
  <c r="N48" i="7" s="1"/>
  <c r="O47" i="7"/>
  <c r="K51" i="7" l="1"/>
  <c r="L49" i="7"/>
  <c r="N49" i="7" s="1"/>
  <c r="O48" i="7"/>
  <c r="T49" i="7"/>
  <c r="M50" i="7"/>
  <c r="U49" i="7"/>
  <c r="L50" i="7" l="1"/>
  <c r="N50" i="7" s="1"/>
  <c r="O49" i="7"/>
  <c r="T50" i="7"/>
  <c r="M51" i="7"/>
  <c r="U50" i="7"/>
  <c r="K52" i="7"/>
  <c r="K53" i="7" l="1"/>
  <c r="L51" i="7"/>
  <c r="N51" i="7" s="1"/>
  <c r="O50" i="7"/>
  <c r="U51" i="7"/>
  <c r="T51" i="7"/>
  <c r="M52" i="7"/>
  <c r="U52" i="7" l="1"/>
  <c r="T52" i="7"/>
  <c r="M53" i="7"/>
  <c r="L52" i="7"/>
  <c r="N52" i="7" s="1"/>
  <c r="O51" i="7"/>
  <c r="K54" i="7"/>
  <c r="K55" i="7" l="1"/>
  <c r="L53" i="7"/>
  <c r="N53" i="7" s="1"/>
  <c r="O52" i="7"/>
  <c r="U53" i="7"/>
  <c r="T53" i="7"/>
  <c r="M54" i="7"/>
  <c r="M55" i="7" l="1"/>
  <c r="U54" i="7"/>
  <c r="T54" i="7"/>
  <c r="L54" i="7"/>
  <c r="N54" i="7" s="1"/>
  <c r="O53" i="7"/>
  <c r="K56" i="7"/>
  <c r="L55" i="7" l="1"/>
  <c r="N55" i="7" s="1"/>
  <c r="O54" i="7"/>
  <c r="K57" i="7"/>
  <c r="U55" i="7"/>
  <c r="T55" i="7"/>
  <c r="M56" i="7"/>
  <c r="K58" i="7" l="1"/>
  <c r="M57" i="7"/>
  <c r="T56" i="7"/>
  <c r="U56" i="7"/>
  <c r="L56" i="7"/>
  <c r="N56" i="7" s="1"/>
  <c r="O55" i="7"/>
  <c r="U57" i="7" l="1"/>
  <c r="M58" i="7"/>
  <c r="T57" i="7"/>
  <c r="L57" i="7"/>
  <c r="N57" i="7" s="1"/>
  <c r="O56" i="7"/>
  <c r="K59" i="7"/>
  <c r="L58" i="7" l="1"/>
  <c r="N58" i="7" s="1"/>
  <c r="O57" i="7"/>
  <c r="K60" i="7"/>
  <c r="U58" i="7"/>
  <c r="M59" i="7"/>
  <c r="T58" i="7"/>
  <c r="K61" i="7" l="1"/>
  <c r="U59" i="7"/>
  <c r="T59" i="7"/>
  <c r="M60" i="7"/>
  <c r="L59" i="7"/>
  <c r="N59" i="7" s="1"/>
  <c r="O58" i="7"/>
  <c r="U60" i="7" l="1"/>
  <c r="M61" i="7"/>
  <c r="T60" i="7"/>
  <c r="L60" i="7"/>
  <c r="N60" i="7" s="1"/>
  <c r="O59" i="7"/>
  <c r="K62" i="7"/>
  <c r="K63" i="7" l="1"/>
  <c r="L61" i="7"/>
  <c r="N61" i="7" s="1"/>
  <c r="O60" i="7"/>
  <c r="U61" i="7"/>
  <c r="M62" i="7"/>
  <c r="T61" i="7"/>
  <c r="L62" i="7" l="1"/>
  <c r="N62" i="7" s="1"/>
  <c r="O61" i="7"/>
  <c r="M63" i="7"/>
  <c r="T62" i="7"/>
  <c r="U62" i="7"/>
  <c r="K64" i="7"/>
  <c r="K65" i="7" l="1"/>
  <c r="L63" i="7"/>
  <c r="N63" i="7" s="1"/>
  <c r="O62" i="7"/>
  <c r="M64" i="7"/>
  <c r="U63" i="7"/>
  <c r="T63" i="7"/>
  <c r="M65" i="7" l="1"/>
  <c r="U64" i="7"/>
  <c r="T64" i="7"/>
  <c r="L64" i="7"/>
  <c r="N64" i="7" s="1"/>
  <c r="O63" i="7"/>
  <c r="K66" i="7"/>
  <c r="L65" i="7" l="1"/>
  <c r="N65" i="7" s="1"/>
  <c r="O64" i="7"/>
  <c r="K67" i="7"/>
  <c r="T65" i="7"/>
  <c r="U65" i="7"/>
  <c r="M66" i="7"/>
  <c r="L66" i="7" l="1"/>
  <c r="N66" i="7" s="1"/>
  <c r="O65" i="7"/>
  <c r="U66" i="7"/>
  <c r="M67" i="7"/>
  <c r="T66" i="7"/>
  <c r="K68" i="7"/>
  <c r="K69" i="7" l="1"/>
  <c r="L67" i="7"/>
  <c r="N67" i="7" s="1"/>
  <c r="O66" i="7"/>
  <c r="U67" i="7"/>
  <c r="T67" i="7"/>
  <c r="M68" i="7"/>
  <c r="M69" i="7" l="1"/>
  <c r="U68" i="7"/>
  <c r="T68" i="7"/>
  <c r="L68" i="7"/>
  <c r="N68" i="7" s="1"/>
  <c r="O67" i="7"/>
  <c r="K70" i="7"/>
  <c r="K71" i="7" l="1"/>
  <c r="L69" i="7"/>
  <c r="N69" i="7" s="1"/>
  <c r="O68" i="7"/>
  <c r="U69" i="7"/>
  <c r="M70" i="7"/>
  <c r="T69" i="7"/>
  <c r="L70" i="7" l="1"/>
  <c r="N70" i="7" s="1"/>
  <c r="O69" i="7"/>
  <c r="U70" i="7"/>
  <c r="M71" i="7"/>
  <c r="T70" i="7"/>
  <c r="K72" i="7"/>
  <c r="K73" i="7" l="1"/>
  <c r="T71" i="7"/>
  <c r="M72" i="7"/>
  <c r="U71" i="7"/>
  <c r="L71" i="7"/>
  <c r="N71" i="7" s="1"/>
  <c r="O70" i="7"/>
  <c r="L72" i="7" l="1"/>
  <c r="N72" i="7" s="1"/>
  <c r="O71" i="7"/>
  <c r="U72" i="7"/>
  <c r="M73" i="7"/>
  <c r="T72" i="7"/>
  <c r="K74" i="7"/>
  <c r="L73" i="7" l="1"/>
  <c r="N73" i="7" s="1"/>
  <c r="O72" i="7"/>
  <c r="T73" i="7"/>
  <c r="M74" i="7"/>
  <c r="U73" i="7"/>
  <c r="K75" i="7"/>
  <c r="M75" i="7" l="1"/>
  <c r="U74" i="7"/>
  <c r="T74" i="7"/>
  <c r="L74" i="7"/>
  <c r="N74" i="7" s="1"/>
  <c r="O73" i="7"/>
  <c r="L75" i="7" l="1"/>
  <c r="N75" i="7" s="1"/>
  <c r="O75" i="7" s="1"/>
  <c r="O77" i="7" s="1"/>
  <c r="O74" i="7"/>
  <c r="T75" i="7"/>
  <c r="T77" i="7" s="1"/>
  <c r="U75" i="7"/>
</calcChain>
</file>

<file path=xl/sharedStrings.xml><?xml version="1.0" encoding="utf-8"?>
<sst xmlns="http://schemas.openxmlformats.org/spreadsheetml/2006/main" count="223" uniqueCount="114">
  <si>
    <t>Start of Lease</t>
  </si>
  <si>
    <t>Annual rate</t>
  </si>
  <si>
    <t>Monthly rate</t>
  </si>
  <si>
    <t>Monthly entry 1</t>
  </si>
  <si>
    <t>Monthly entry 2</t>
  </si>
  <si>
    <t>Payment #:</t>
  </si>
  <si>
    <t>Payment date:</t>
  </si>
  <si>
    <t>Payment amt:</t>
  </si>
  <si>
    <t>PV factor for</t>
  </si>
  <si>
    <t>PV for payment</t>
  </si>
  <si>
    <t>BOP Liab</t>
  </si>
  <si>
    <t>Accretion</t>
  </si>
  <si>
    <t>EOP Liab</t>
  </si>
  <si>
    <t>Gross Asset</t>
  </si>
  <si>
    <t>BOP A/Dep</t>
  </si>
  <si>
    <t>Depreciation</t>
  </si>
  <si>
    <t>EOP A/Dep</t>
  </si>
  <si>
    <t>EOP Net asset</t>
  </si>
  <si>
    <t>ARO</t>
  </si>
  <si>
    <t>Deprec</t>
  </si>
  <si>
    <t>Accum</t>
  </si>
  <si>
    <t>payment EOP</t>
  </si>
  <si>
    <t>made at EOP</t>
  </si>
  <si>
    <t>Expense</t>
  </si>
  <si>
    <t>Liab</t>
  </si>
  <si>
    <t>rate</t>
  </si>
  <si>
    <t>NPV EOP</t>
  </si>
  <si>
    <t>EXAMPLE 1</t>
  </si>
  <si>
    <t>ORIGINAL CREATION OF ARO</t>
  </si>
  <si>
    <t>Lease Terms</t>
  </si>
  <si>
    <t>Contract Start Date</t>
  </si>
  <si>
    <t>Inflation Rate</t>
  </si>
  <si>
    <t>(months)</t>
  </si>
  <si>
    <t>Branch/Name of Lease</t>
  </si>
  <si>
    <t>Instructions:</t>
  </si>
  <si>
    <t>LEASE:</t>
  </si>
  <si>
    <t>RICHMOND</t>
  </si>
  <si>
    <t>a. EOP Liability at termination date should equal Estimated Cost at Termination Date above.</t>
  </si>
  <si>
    <t>Perform validation checks to verify calculations are correct.</t>
  </si>
  <si>
    <r>
      <rPr>
        <u/>
        <sz val="10"/>
        <rFont val="Arial"/>
        <family val="2"/>
      </rPr>
      <t>Note:</t>
    </r>
    <r>
      <rPr>
        <sz val="10"/>
        <rFont val="Arial"/>
        <family val="2"/>
      </rPr>
      <t xml:space="preserve">  Subsequent tabs are set up as if payments are made at the end of the period.</t>
    </r>
  </si>
  <si>
    <t>EXAMPLE 2</t>
  </si>
  <si>
    <t>LEASE WAS RENEWED</t>
  </si>
  <si>
    <t>Original Lease Terms</t>
  </si>
  <si>
    <t>Lease Renewal</t>
  </si>
  <si>
    <t>Date of Renewal</t>
  </si>
  <si>
    <t>Perform validation checks on next tab (1a) to verify calculations are correct.</t>
  </si>
  <si>
    <t>Entry Required?</t>
  </si>
  <si>
    <t>If the Net Change in Estimated Cost is an increase:</t>
  </si>
  <si>
    <t>If the Net Change in Estimated Cost is a decrease:</t>
  </si>
  <si>
    <t>Net Change in Estimated Cost</t>
  </si>
  <si>
    <t>-Going forward, monthly entries should be recorded using Tab 2a.</t>
  </si>
  <si>
    <t>-Your revised end of period liability balance is shown on Tab 2a.  You will not need Tab 2b.</t>
  </si>
  <si>
    <t>Remaining ARO asset Layer 1</t>
  </si>
  <si>
    <t>Liability recorded on the GL Layer 1</t>
  </si>
  <si>
    <t>Revised End of Period Liability Layer 1</t>
  </si>
  <si>
    <t>Total Asset</t>
  </si>
  <si>
    <t>Reduce ARO Asset first</t>
  </si>
  <si>
    <t>Reduce Depreciation Expense</t>
  </si>
  <si>
    <t>Reduce ARO Liability Layer 1</t>
  </si>
  <si>
    <t>Record Liability Layer 2</t>
  </si>
  <si>
    <t>Lease</t>
  </si>
  <si>
    <t>- You will now have 2 layers related to this ARO, Layer 2 representing the increase in cost (Tab 2a), and Layer 1 as calculated originally (Tab 1a) but must now be revised for the change in timing (Tab 2b).</t>
  </si>
  <si>
    <t>- The below calculation will help you determine the appropriate journal entries. Lines highlighted blue comprise the adjusting entry required.</t>
  </si>
  <si>
    <t>- Going forward, monthly entries should be recorded using both Tabs 2a and 2b.</t>
  </si>
  <si>
    <t>Record the appropriate journal entries as follows.  Consider whether the ARO is short term or long term based on the contract end date.</t>
  </si>
  <si>
    <t>Remaining Asset Layer 2</t>
  </si>
  <si>
    <t>Record Asset Layer 2</t>
  </si>
  <si>
    <t>Dr</t>
  </si>
  <si>
    <t>ARO Asset</t>
  </si>
  <si>
    <t>Cr</t>
  </si>
  <si>
    <t>ARO Liability</t>
  </si>
  <si>
    <t>Depreciation Expense</t>
  </si>
  <si>
    <t>Definitions:</t>
  </si>
  <si>
    <t>Estimate of the cost to restore the leased premises to original condition as required based on the legal contract.  This includes only leasehold improvements and/or assets that have no alternative future use.  For example, the removal of CCTVs, which will be used in another building, is NOT included in the ARO cost estimate.</t>
  </si>
  <si>
    <t>Estimated Cost at Inception</t>
  </si>
  <si>
    <t>(1)</t>
  </si>
  <si>
    <t>(2)</t>
  </si>
  <si>
    <t>(3)</t>
  </si>
  <si>
    <t>(4)</t>
  </si>
  <si>
    <t>Discount Rate</t>
  </si>
  <si>
    <t>The inflation rate is typically expressed as a percentage and reported through a national index (for example, US CPI).  It measures how fast prices for goods and services rise over time, or how much less one unit of currency buys now compared to one unit of currency at a given time in the past.</t>
  </si>
  <si>
    <t>Complete the shaded cells with requested information.  See definitions provided below.  Subsequent tabs will reference to this information and perform all calculations.</t>
  </si>
  <si>
    <t>Check</t>
  </si>
  <si>
    <t>b. EOP Net Asset at termination date should equal zero (cell O74 on tab 1a).</t>
  </si>
  <si>
    <t>PV Calculation</t>
  </si>
  <si>
    <t>Liability/Accretion Calculation</t>
  </si>
  <si>
    <t>ARO Asset Depreciation</t>
  </si>
  <si>
    <t>Cost per Tab 1</t>
  </si>
  <si>
    <t>End should be 0</t>
  </si>
  <si>
    <t>Check -should be 0</t>
  </si>
  <si>
    <t>c. Calculated PV payment at end of lease should equal NPV value (cell E80 on tab 1a).</t>
  </si>
  <si>
    <t>Complete the shaded cells with requested information.  See definitions on Tab 1.  Subsequent tabs will reference to this information and perform all calculations.</t>
  </si>
  <si>
    <t>Cost per Tab 2</t>
  </si>
  <si>
    <t>c. Calculated PV payment at end of lease should equal NPV value (cell E80 on tab 2a).</t>
  </si>
  <si>
    <t>Net Journal Entry:</t>
  </si>
  <si>
    <t>Expected Settlement Date</t>
  </si>
  <si>
    <t>The settlement date is the date that an entity expects to exit the lease and restore the property to its original condition. Management must determine its best estimate of the potential settlement date or range of potential settlement dates based on entity's past practice, industry practice, management's intent and estimated economic life of asset.</t>
  </si>
  <si>
    <t>A potential settlement date may extend beyond the initial lease term.  However, entities shall not use potential settlement dates which extend more than 20 years past the initial lease term.</t>
  </si>
  <si>
    <t>For AROs &gt; $1,000,000, please notify Corporate Accounting to discuss probability weighting of potential settlement dates.</t>
  </si>
  <si>
    <t>Settlement Date</t>
  </si>
  <si>
    <t>Settlement Period</t>
  </si>
  <si>
    <t>Revised Settlement Date</t>
  </si>
  <si>
    <t>Settlement Period (months)</t>
  </si>
  <si>
    <t>Annual Inflation Rate</t>
  </si>
  <si>
    <t>As of:</t>
  </si>
  <si>
    <t>Credit Spread</t>
  </si>
  <si>
    <t>The discount rate used in the analysis should be the credit adjusted risk-free rate comprised of (1) a base discount rate equivalent to a risk free interest rate for an instrument such as government treasury bond, and (2) an adjustment factor to reflect the entity's credit standing.  The base discount rate used should be based on a maturity date similar to the date when the obligation is expected to be settled.  For countries who obtain capital from a parent entity, please contact BCO Treasury to obtain the appropriate rate.</t>
  </si>
  <si>
    <t>Risk free rate for settlement period</t>
  </si>
  <si>
    <r>
      <rPr>
        <b/>
        <u/>
        <sz val="10"/>
        <color rgb="FFFF0000"/>
        <rFont val="Arial"/>
        <family val="2"/>
      </rPr>
      <t>NOTE:</t>
    </r>
    <r>
      <rPr>
        <b/>
        <sz val="10"/>
        <color rgb="FFFF0000"/>
        <rFont val="Arial"/>
        <family val="2"/>
      </rPr>
      <t xml:space="preserve">  This is only an example.  The calculations are designed for leases renewed at the end of the initial lease term.  If leases are renewed earlier in the lease, the formulas may require updating.  Please consult Corporate Accounting for any questions.</t>
    </r>
  </si>
  <si>
    <t>ARO Asset Life - Global Policy</t>
  </si>
  <si>
    <t>ARO Asset Useful Life</t>
  </si>
  <si>
    <r>
      <rPr>
        <b/>
        <u/>
        <sz val="10"/>
        <color rgb="FFFF0000"/>
        <rFont val="Arial"/>
        <family val="2"/>
      </rPr>
      <t>NOTE:</t>
    </r>
    <r>
      <rPr>
        <b/>
        <sz val="10"/>
        <color rgb="FFFF0000"/>
        <rFont val="Arial"/>
        <family val="2"/>
      </rPr>
      <t xml:space="preserve">  This is only an example.  The calculations are designed for leases renewed at the end of the initial lease term.  </t>
    </r>
    <r>
      <rPr>
        <b/>
        <u/>
        <sz val="10"/>
        <color rgb="FFFF0000"/>
        <rFont val="Arial"/>
        <family val="2"/>
      </rPr>
      <t>In this situation, the ARO asset originally recorded is fully depreciated and is therefore not included in the below calculation.</t>
    </r>
    <r>
      <rPr>
        <b/>
        <sz val="10"/>
        <color rgb="FFFF0000"/>
        <rFont val="Arial"/>
        <family val="2"/>
      </rPr>
      <t xml:space="preserve">  If leases are renewed earlier in the lease, the formulas may require updating.  Please consult Corporate Accounting for any questions.</t>
    </r>
  </si>
  <si>
    <t>-Reduce your current year liability by first reducing any remaining ARO asset for this lease.  If no remaining asset exists, reduce depreciation expense.</t>
  </si>
  <si>
    <t>Exhibit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</si>
</sst>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000000%"/>
    <numFmt numFmtId="165" formatCode="0.0000%"/>
    <numFmt numFmtId="166" formatCode="[$-409]mmm\-yy;@"/>
    <numFmt numFmtId="167" formatCode="_(* #,##0_);_(* \(#,##0\);_(* &quot;-&quot;??_);_(@_)"/>
    <numFmt numFmtId="168" formatCode="[$EUR]\ #,##0_);\([$EUR]\ #,##0\)"/>
    <numFmt numFmtId="169" formatCode="[$EUR]\ #,##0.00_);\([$EUR]\ #,##0.00\)"/>
    <numFmt numFmtId="170" formatCode="_(&quot;$&quot;* #,##0_);_(&quot;$&quot;* \(#,##0\);_(&quot;$&quot;* &quot;-&quot;??_);_(@_)"/>
    <numFmt numFmtId="171" formatCode="[$-409]d\-mmm\-yyyy;@"/>
  </numFmts>
  <fonts count="14" x14ac:knownFonts="1">
    <font>
      <sz val="10"/>
      <name val="Arial"/>
    </font>
    <font>
      <b/>
      <sz val="10"/>
      <name val="Arial"/>
      <family val="2"/>
    </font>
    <font>
      <sz val="10"/>
      <name val="Arial"/>
      <family val="2"/>
    </font>
    <font>
      <b/>
      <i/>
      <sz val="10"/>
      <name val="Arial"/>
      <family val="2"/>
    </font>
    <font>
      <i/>
      <sz val="10"/>
      <color indexed="12"/>
      <name val="Arial"/>
      <family val="2"/>
    </font>
    <font>
      <b/>
      <sz val="10"/>
      <color rgb="FFFF0000"/>
      <name val="Arial"/>
      <family val="2"/>
    </font>
    <font>
      <sz val="10"/>
      <color indexed="12"/>
      <name val="Arial"/>
      <family val="2"/>
    </font>
    <font>
      <i/>
      <sz val="10"/>
      <name val="Arial"/>
      <family val="2"/>
    </font>
    <font>
      <sz val="10"/>
      <name val="Arial"/>
      <family val="2"/>
    </font>
    <font>
      <u/>
      <sz val="10"/>
      <name val="Arial"/>
      <family val="2"/>
    </font>
    <font>
      <i/>
      <u/>
      <sz val="10"/>
      <name val="Arial"/>
      <family val="2"/>
    </font>
    <font>
      <b/>
      <u/>
      <sz val="10"/>
      <color rgb="FFFF0000"/>
      <name val="Arial"/>
      <family val="2"/>
    </font>
    <font>
      <sz val="9"/>
      <name val="Arial"/>
      <family val="2"/>
    </font>
    <font>
      <b/>
      <sz val="14"/>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FCC99"/>
        <bgColor indexed="64"/>
      </patternFill>
    </fill>
    <fill>
      <patternFill patternType="solid">
        <fgColor theme="4" tint="0.79998168889431442"/>
        <bgColor indexed="64"/>
      </patternFill>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8" fillId="0" borderId="0" applyFont="0" applyFill="0" applyBorder="0" applyAlignment="0" applyProtection="0"/>
  </cellStyleXfs>
  <cellXfs count="137">
    <xf numFmtId="0" fontId="0" fillId="0" borderId="0" xfId="0"/>
    <xf numFmtId="0" fontId="1" fillId="0" borderId="0" xfId="0" applyFont="1"/>
    <xf numFmtId="0" fontId="0" fillId="0" borderId="0" xfId="0" applyAlignment="1">
      <alignment horizontal="right"/>
    </xf>
    <xf numFmtId="0" fontId="1" fillId="0" borderId="0" xfId="0" applyFont="1" applyAlignment="1">
      <alignment horizontal="right"/>
    </xf>
    <xf numFmtId="0" fontId="2" fillId="0" borderId="0" xfId="0" applyFont="1"/>
    <xf numFmtId="164" fontId="0" fillId="0" borderId="0" xfId="2" applyNumberFormat="1" applyFont="1"/>
    <xf numFmtId="0" fontId="3" fillId="0" borderId="0" xfId="0" applyFont="1"/>
    <xf numFmtId="164" fontId="1" fillId="0" borderId="0" xfId="2" applyNumberFormat="1" applyFont="1"/>
    <xf numFmtId="164" fontId="1" fillId="0" borderId="0" xfId="2" applyNumberFormat="1" applyFont="1" applyAlignment="1">
      <alignment horizontal="right"/>
    </xf>
    <xf numFmtId="0" fontId="1" fillId="2" borderId="1" xfId="0" applyFont="1" applyFill="1" applyBorder="1" applyAlignment="1">
      <alignment horizontal="left"/>
    </xf>
    <xf numFmtId="0" fontId="0" fillId="2" borderId="2" xfId="0" applyFill="1" applyBorder="1" applyAlignment="1">
      <alignment horizontal="right"/>
    </xf>
    <xf numFmtId="0" fontId="0" fillId="2" borderId="2" xfId="0" applyFill="1" applyBorder="1"/>
    <xf numFmtId="0" fontId="2" fillId="0" borderId="0" xfId="0" applyFont="1" applyAlignment="1">
      <alignment horizontal="right"/>
    </xf>
    <xf numFmtId="0" fontId="2" fillId="0" borderId="0" xfId="0" applyFont="1" applyAlignment="1">
      <alignment horizontal="center"/>
    </xf>
    <xf numFmtId="165" fontId="2" fillId="0" borderId="0" xfId="0" applyNumberFormat="1" applyFont="1" applyAlignment="1">
      <alignment horizontal="right"/>
    </xf>
    <xf numFmtId="165" fontId="2" fillId="0" borderId="0" xfId="0" applyNumberFormat="1" applyFont="1" applyFill="1" applyAlignment="1">
      <alignment horizontal="right"/>
    </xf>
    <xf numFmtId="0" fontId="0" fillId="0" borderId="0" xfId="0" applyBorder="1" applyAlignment="1">
      <alignment horizontal="center"/>
    </xf>
    <xf numFmtId="0" fontId="0" fillId="0" borderId="0" xfId="0" applyBorder="1"/>
    <xf numFmtId="165" fontId="4" fillId="0" borderId="0" xfId="0" applyNumberFormat="1" applyFont="1" applyBorder="1" applyAlignment="1">
      <alignment horizontal="right"/>
    </xf>
    <xf numFmtId="165" fontId="2" fillId="0" borderId="0" xfId="0" applyNumberFormat="1" applyFont="1" applyFill="1" applyBorder="1" applyAlignment="1">
      <alignment horizontal="right"/>
    </xf>
    <xf numFmtId="0" fontId="1" fillId="0" borderId="0" xfId="0" applyFont="1" applyBorder="1" applyAlignment="1">
      <alignment horizontal="center"/>
    </xf>
    <xf numFmtId="166" fontId="0" fillId="0" borderId="0" xfId="0" applyNumberFormat="1" applyBorder="1" applyAlignment="1">
      <alignment horizontal="center"/>
    </xf>
    <xf numFmtId="43" fontId="1" fillId="0" borderId="0" xfId="1" applyFont="1" applyFill="1" applyBorder="1"/>
    <xf numFmtId="167" fontId="2" fillId="0" borderId="0" xfId="1" applyNumberFormat="1" applyFill="1" applyBorder="1"/>
    <xf numFmtId="43" fontId="2" fillId="0" borderId="0" xfId="1" applyFont="1" applyFill="1" applyBorder="1" applyAlignment="1">
      <alignment horizontal="right"/>
    </xf>
    <xf numFmtId="43" fontId="1" fillId="0" borderId="0" xfId="1" applyFont="1"/>
    <xf numFmtId="43" fontId="0" fillId="0" borderId="0" xfId="1" applyFont="1"/>
    <xf numFmtId="43" fontId="0" fillId="0" borderId="0" xfId="1" applyFont="1" applyAlignment="1">
      <alignment horizontal="right"/>
    </xf>
    <xf numFmtId="167" fontId="1" fillId="0" borderId="0" xfId="1" applyNumberFormat="1" applyFont="1" applyFill="1" applyBorder="1"/>
    <xf numFmtId="0" fontId="1" fillId="0" borderId="0" xfId="0" applyFont="1" applyFill="1"/>
    <xf numFmtId="165" fontId="6" fillId="0" borderId="0" xfId="0" applyNumberFormat="1" applyFont="1" applyBorder="1"/>
    <xf numFmtId="167" fontId="2" fillId="0" borderId="0" xfId="1" applyNumberFormat="1" applyFont="1" applyFill="1" applyBorder="1" applyAlignment="1">
      <alignment horizontal="right"/>
    </xf>
    <xf numFmtId="167" fontId="0" fillId="0" borderId="0" xfId="1" applyNumberFormat="1" applyFont="1" applyFill="1" applyBorder="1" applyAlignment="1">
      <alignment horizontal="right"/>
    </xf>
    <xf numFmtId="167" fontId="1" fillId="0" borderId="0" xfId="1" applyNumberFormat="1" applyFont="1" applyFill="1" applyBorder="1" applyAlignment="1">
      <alignment horizontal="right"/>
    </xf>
    <xf numFmtId="167" fontId="1" fillId="0" borderId="0" xfId="1" applyNumberFormat="1" applyFont="1"/>
    <xf numFmtId="167" fontId="0" fillId="0" borderId="0" xfId="1" applyNumberFormat="1" applyFont="1"/>
    <xf numFmtId="167" fontId="0" fillId="0" borderId="0" xfId="1" applyNumberFormat="1" applyFont="1" applyAlignment="1">
      <alignment horizontal="right"/>
    </xf>
    <xf numFmtId="0" fontId="1" fillId="0" borderId="3" xfId="0" applyFont="1" applyBorder="1" applyAlignment="1">
      <alignment horizontal="center"/>
    </xf>
    <xf numFmtId="166" fontId="0" fillId="0" borderId="3" xfId="0" applyNumberFormat="1" applyBorder="1" applyAlignment="1">
      <alignment horizontal="center"/>
    </xf>
    <xf numFmtId="167" fontId="1" fillId="0" borderId="3" xfId="1" applyNumberFormat="1" applyFont="1" applyFill="1" applyBorder="1"/>
    <xf numFmtId="165" fontId="6" fillId="0" borderId="3" xfId="0" applyNumberFormat="1" applyFont="1" applyBorder="1"/>
    <xf numFmtId="167" fontId="2" fillId="0" borderId="3" xfId="1" applyNumberFormat="1" applyFont="1" applyFill="1" applyBorder="1" applyAlignment="1">
      <alignment horizontal="right"/>
    </xf>
    <xf numFmtId="167" fontId="1" fillId="0" borderId="3" xfId="1" applyNumberFormat="1" applyFont="1" applyFill="1" applyBorder="1" applyAlignment="1">
      <alignment horizontal="right"/>
    </xf>
    <xf numFmtId="43" fontId="0" fillId="0" borderId="3" xfId="1" applyFont="1" applyBorder="1"/>
    <xf numFmtId="167" fontId="1" fillId="0" borderId="3" xfId="1" applyNumberFormat="1" applyFont="1" applyBorder="1"/>
    <xf numFmtId="167" fontId="0" fillId="0" borderId="3" xfId="1" applyNumberFormat="1" applyFont="1" applyBorder="1"/>
    <xf numFmtId="167" fontId="0" fillId="0" borderId="3" xfId="1" applyNumberFormat="1" applyFont="1" applyBorder="1" applyAlignment="1">
      <alignment horizontal="right"/>
    </xf>
    <xf numFmtId="43" fontId="1" fillId="0" borderId="0" xfId="1" applyFont="1" applyAlignment="1">
      <alignment horizontal="right"/>
    </xf>
    <xf numFmtId="43" fontId="5" fillId="0" borderId="0" xfId="1" applyFont="1" applyBorder="1" applyAlignment="1">
      <alignment horizontal="right"/>
    </xf>
    <xf numFmtId="8" fontId="1" fillId="0" borderId="0" xfId="1" applyNumberFormat="1" applyFont="1" applyFill="1" applyBorder="1"/>
    <xf numFmtId="165" fontId="3" fillId="0" borderId="0" xfId="0" applyNumberFormat="1" applyFont="1" applyAlignment="1">
      <alignment horizontal="right"/>
    </xf>
    <xf numFmtId="165" fontId="2" fillId="0" borderId="0" xfId="0" applyNumberFormat="1" applyFont="1" applyBorder="1"/>
    <xf numFmtId="0" fontId="1" fillId="0" borderId="0" xfId="0" applyFont="1" applyBorder="1" applyAlignment="1">
      <alignment horizontal="right"/>
    </xf>
    <xf numFmtId="0" fontId="1" fillId="0" borderId="0" xfId="0" applyFont="1" applyAlignment="1">
      <alignment horizontal="center"/>
    </xf>
    <xf numFmtId="167" fontId="1" fillId="3" borderId="4" xfId="1" applyNumberFormat="1" applyFont="1" applyFill="1" applyBorder="1"/>
    <xf numFmtId="0" fontId="7" fillId="0" borderId="0" xfId="0" applyFont="1" applyAlignment="1">
      <alignment horizontal="right"/>
    </xf>
    <xf numFmtId="169" fontId="1" fillId="0" borderId="0" xfId="0" applyNumberFormat="1" applyFont="1"/>
    <xf numFmtId="14" fontId="1" fillId="0" borderId="0" xfId="0" applyNumberFormat="1" applyFont="1" applyBorder="1" applyAlignment="1">
      <alignment horizontal="right"/>
    </xf>
    <xf numFmtId="167" fontId="1" fillId="0" borderId="0" xfId="0" applyNumberFormat="1" applyFont="1" applyAlignment="1">
      <alignment horizontal="right"/>
    </xf>
    <xf numFmtId="167" fontId="0" fillId="0" borderId="0" xfId="0" applyNumberFormat="1"/>
    <xf numFmtId="14" fontId="1" fillId="0" borderId="0" xfId="0" applyNumberFormat="1" applyFont="1" applyBorder="1"/>
    <xf numFmtId="167" fontId="0" fillId="0" borderId="0" xfId="1" applyNumberFormat="1" applyFont="1" applyBorder="1"/>
    <xf numFmtId="167" fontId="0" fillId="0" borderId="0" xfId="0" applyNumberFormat="1" applyBorder="1"/>
    <xf numFmtId="0" fontId="1" fillId="0" borderId="0" xfId="0" applyFont="1" applyFill="1" applyBorder="1" applyAlignment="1">
      <alignment horizontal="center"/>
    </xf>
    <xf numFmtId="165" fontId="6" fillId="0" borderId="0" xfId="0" applyNumberFormat="1" applyFont="1" applyFill="1" applyBorder="1"/>
    <xf numFmtId="0" fontId="0" fillId="0" borderId="0" xfId="0" applyFill="1"/>
    <xf numFmtId="43" fontId="0" fillId="0" borderId="0" xfId="1" applyFont="1" applyFill="1"/>
    <xf numFmtId="167" fontId="2" fillId="0" borderId="0" xfId="1" applyNumberFormat="1" applyFont="1" applyFill="1" applyBorder="1"/>
    <xf numFmtId="0" fontId="2" fillId="0" borderId="0" xfId="0" applyFont="1" applyFill="1" applyBorder="1"/>
    <xf numFmtId="0" fontId="0" fillId="0" borderId="0" xfId="0" applyFill="1" applyBorder="1"/>
    <xf numFmtId="167" fontId="0" fillId="0" borderId="0" xfId="1" applyNumberFormat="1" applyFont="1" applyFill="1" applyAlignment="1">
      <alignment horizontal="right"/>
    </xf>
    <xf numFmtId="167" fontId="1" fillId="0" borderId="0" xfId="1" applyNumberFormat="1" applyFont="1" applyFill="1"/>
    <xf numFmtId="167" fontId="0" fillId="0" borderId="0" xfId="1" applyNumberFormat="1" applyFont="1" applyFill="1"/>
    <xf numFmtId="0" fontId="9" fillId="0" borderId="0" xfId="0" applyFont="1"/>
    <xf numFmtId="170" fontId="0" fillId="0" borderId="0" xfId="3" applyNumberFormat="1" applyFont="1"/>
    <xf numFmtId="14" fontId="0" fillId="0" borderId="0" xfId="0" applyNumberFormat="1" applyFill="1"/>
    <xf numFmtId="171" fontId="0" fillId="0" borderId="0" xfId="0" applyNumberFormat="1" applyFill="1" applyBorder="1" applyAlignment="1">
      <alignment horizontal="center"/>
    </xf>
    <xf numFmtId="164" fontId="1" fillId="0" borderId="0" xfId="2" applyNumberFormat="1" applyFont="1" applyFill="1" applyAlignment="1">
      <alignment horizontal="right"/>
    </xf>
    <xf numFmtId="167" fontId="0" fillId="0" borderId="3" xfId="1" applyNumberFormat="1" applyFont="1" applyFill="1" applyBorder="1" applyAlignment="1">
      <alignment horizontal="right"/>
    </xf>
    <xf numFmtId="0" fontId="0" fillId="0" borderId="3" xfId="0" applyBorder="1"/>
    <xf numFmtId="0" fontId="2" fillId="0" borderId="0" xfId="0" applyFont="1" applyFill="1"/>
    <xf numFmtId="14" fontId="0" fillId="4" borderId="0" xfId="0" applyNumberFormat="1" applyFill="1"/>
    <xf numFmtId="9" fontId="0" fillId="4" borderId="0" xfId="0" applyNumberFormat="1" applyFill="1"/>
    <xf numFmtId="0" fontId="2" fillId="4" borderId="0" xfId="0" applyFont="1" applyFill="1" applyAlignment="1">
      <alignment horizontal="center"/>
    </xf>
    <xf numFmtId="170" fontId="0" fillId="4" borderId="0" xfId="3" applyNumberFormat="1" applyFont="1" applyFill="1"/>
    <xf numFmtId="0" fontId="1" fillId="0" borderId="0" xfId="0" applyFont="1" applyFill="1" applyBorder="1"/>
    <xf numFmtId="10" fontId="1" fillId="0" borderId="0" xfId="0" applyNumberFormat="1" applyFont="1" applyFill="1" applyBorder="1"/>
    <xf numFmtId="168" fontId="1" fillId="0" borderId="0" xfId="0" applyNumberFormat="1" applyFont="1" applyFill="1" applyBorder="1"/>
    <xf numFmtId="0" fontId="7" fillId="0" borderId="0" xfId="0" applyFont="1" applyFill="1" applyBorder="1"/>
    <xf numFmtId="14" fontId="1" fillId="0" borderId="0" xfId="0" applyNumberFormat="1" applyFont="1" applyFill="1" applyBorder="1"/>
    <xf numFmtId="167" fontId="0" fillId="0" borderId="0" xfId="1" applyNumberFormat="1" applyFont="1" applyFill="1" applyBorder="1"/>
    <xf numFmtId="167" fontId="0" fillId="0" borderId="0" xfId="0" applyNumberFormat="1" applyFill="1" applyBorder="1"/>
    <xf numFmtId="0" fontId="0" fillId="0" borderId="0" xfId="0" applyFill="1" applyAlignment="1">
      <alignment horizontal="center"/>
    </xf>
    <xf numFmtId="0" fontId="2" fillId="0" borderId="0" xfId="0" applyFont="1" applyFill="1" applyAlignment="1">
      <alignment horizontal="center"/>
    </xf>
    <xf numFmtId="9" fontId="0" fillId="0" borderId="0" xfId="0" applyNumberFormat="1" applyFill="1"/>
    <xf numFmtId="167" fontId="0" fillId="4" borderId="0" xfId="1" applyNumberFormat="1" applyFont="1" applyFill="1"/>
    <xf numFmtId="9" fontId="2" fillId="0" borderId="0" xfId="2" applyFont="1" applyFill="1" applyAlignment="1">
      <alignment horizontal="right"/>
    </xf>
    <xf numFmtId="170" fontId="2" fillId="0" borderId="0" xfId="3" applyNumberFormat="1" applyFont="1" applyFill="1" applyAlignment="1">
      <alignment horizontal="right"/>
    </xf>
    <xf numFmtId="14" fontId="2" fillId="0" borderId="0" xfId="0" applyNumberFormat="1" applyFont="1" applyFill="1" applyAlignment="1">
      <alignment horizontal="right"/>
    </xf>
    <xf numFmtId="0" fontId="2" fillId="0" borderId="0" xfId="0" applyFont="1" applyFill="1" applyAlignment="1">
      <alignment horizontal="right"/>
    </xf>
    <xf numFmtId="170" fontId="0" fillId="0" borderId="0" xfId="0" applyNumberFormat="1"/>
    <xf numFmtId="0" fontId="2" fillId="0" borderId="0" xfId="0" quotePrefix="1" applyFont="1"/>
    <xf numFmtId="167" fontId="0" fillId="0" borderId="5" xfId="1" applyNumberFormat="1" applyFont="1" applyBorder="1"/>
    <xf numFmtId="0" fontId="2" fillId="5" borderId="0" xfId="0" applyFont="1" applyFill="1"/>
    <xf numFmtId="167" fontId="0" fillId="5" borderId="0" xfId="0" applyNumberFormat="1" applyFill="1"/>
    <xf numFmtId="167" fontId="0" fillId="5" borderId="0" xfId="1" applyNumberFormat="1" applyFont="1" applyFill="1"/>
    <xf numFmtId="0" fontId="10" fillId="0" borderId="0" xfId="0" applyFont="1"/>
    <xf numFmtId="0" fontId="2" fillId="0" borderId="0" xfId="0" quotePrefix="1" applyFont="1" applyFill="1"/>
    <xf numFmtId="0" fontId="0" fillId="5" borderId="0" xfId="0" applyFill="1"/>
    <xf numFmtId="167" fontId="0" fillId="0" borderId="5" xfId="1" applyNumberFormat="1" applyFont="1" applyFill="1" applyBorder="1"/>
    <xf numFmtId="0" fontId="2" fillId="0" borderId="0" xfId="0" applyFont="1" applyAlignment="1"/>
    <xf numFmtId="0" fontId="9" fillId="0" borderId="0" xfId="0" applyFont="1" applyBorder="1"/>
    <xf numFmtId="0" fontId="9" fillId="0" borderId="0" xfId="0" applyFont="1" applyBorder="1" applyAlignment="1">
      <alignment wrapText="1"/>
    </xf>
    <xf numFmtId="167" fontId="7" fillId="0" borderId="0" xfId="1" applyNumberFormat="1" applyFont="1" applyFill="1" applyBorder="1" applyAlignment="1">
      <alignment horizontal="right"/>
    </xf>
    <xf numFmtId="43" fontId="7" fillId="0" borderId="0" xfId="1" applyFont="1" applyAlignment="1">
      <alignment horizontal="right"/>
    </xf>
    <xf numFmtId="43" fontId="7" fillId="0" borderId="0" xfId="1" applyFont="1"/>
    <xf numFmtId="167" fontId="7" fillId="0" borderId="0" xfId="0" applyNumberFormat="1" applyFont="1" applyAlignment="1">
      <alignment horizontal="right"/>
    </xf>
    <xf numFmtId="0" fontId="7" fillId="0" borderId="0" xfId="0" applyFont="1" applyAlignment="1">
      <alignment horizontal="left"/>
    </xf>
    <xf numFmtId="0" fontId="2" fillId="0" borderId="0" xfId="0" applyFont="1" applyAlignment="1">
      <alignment wrapText="1"/>
    </xf>
    <xf numFmtId="14" fontId="0" fillId="0" borderId="0" xfId="0" applyNumberFormat="1"/>
    <xf numFmtId="10" fontId="0" fillId="0" borderId="0" xfId="0" applyNumberFormat="1" applyFill="1"/>
    <xf numFmtId="10" fontId="2" fillId="4" borderId="0" xfId="2" applyNumberFormat="1" applyFont="1" applyFill="1" applyAlignment="1">
      <alignment horizontal="right"/>
    </xf>
    <xf numFmtId="10" fontId="2" fillId="0" borderId="0" xfId="0" applyNumberFormat="1" applyFont="1" applyFill="1" applyAlignment="1">
      <alignment horizontal="right"/>
    </xf>
    <xf numFmtId="10" fontId="0" fillId="0" borderId="0" xfId="0" applyNumberFormat="1"/>
    <xf numFmtId="10" fontId="2" fillId="4" borderId="0" xfId="0" applyNumberFormat="1" applyFont="1" applyFill="1"/>
    <xf numFmtId="0" fontId="5" fillId="0" borderId="0" xfId="0" applyFont="1" applyAlignment="1">
      <alignment horizontal="center"/>
    </xf>
    <xf numFmtId="0" fontId="12" fillId="0" borderId="0" xfId="0" applyFont="1"/>
    <xf numFmtId="43" fontId="7" fillId="0" borderId="0" xfId="1" applyFont="1" applyFill="1"/>
    <xf numFmtId="0" fontId="13" fillId="0" borderId="0" xfId="0" applyFont="1"/>
    <xf numFmtId="0" fontId="2" fillId="0" borderId="0" xfId="0" applyFont="1" applyBorder="1" applyAlignment="1">
      <alignment horizontal="left" vertical="top" wrapText="1"/>
    </xf>
    <xf numFmtId="0" fontId="2" fillId="0" borderId="0" xfId="0" applyFont="1" applyBorder="1" applyAlignment="1">
      <alignment horizontal="left" wrapText="1"/>
    </xf>
    <xf numFmtId="0" fontId="7" fillId="0" borderId="0" xfId="0" applyFont="1" applyBorder="1" applyAlignment="1">
      <alignment horizontal="left" wrapText="1"/>
    </xf>
    <xf numFmtId="0" fontId="2" fillId="0" borderId="0" xfId="0" applyFont="1" applyBorder="1" applyAlignment="1">
      <alignment horizontal="left"/>
    </xf>
    <xf numFmtId="0" fontId="9" fillId="0" borderId="0" xfId="0" applyFont="1" applyBorder="1" applyAlignment="1">
      <alignment horizontal="left"/>
    </xf>
    <xf numFmtId="0" fontId="2" fillId="0" borderId="0" xfId="0" applyFont="1" applyAlignment="1">
      <alignment horizontal="left"/>
    </xf>
    <xf numFmtId="0" fontId="1" fillId="0" borderId="3" xfId="0" applyFont="1" applyBorder="1" applyAlignment="1">
      <alignment horizontal="center"/>
    </xf>
    <xf numFmtId="0" fontId="5" fillId="0" borderId="0" xfId="0" applyFont="1" applyAlignment="1">
      <alignment horizontal="left"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0"/>
  <sheetViews>
    <sheetView tabSelected="1" workbookViewId="0"/>
  </sheetViews>
  <sheetFormatPr defaultRowHeight="12.75" x14ac:dyDescent="0.2"/>
  <cols>
    <col min="1" max="1" width="3.28515625" customWidth="1"/>
    <col min="2" max="2" width="32.140625" customWidth="1"/>
    <col min="3" max="3" width="13.140625" customWidth="1"/>
    <col min="4" max="4" width="10.140625" bestFit="1" customWidth="1"/>
  </cols>
  <sheetData>
    <row r="1" spans="1:4" ht="18" x14ac:dyDescent="0.25">
      <c r="A1" s="128" t="s">
        <v>113</v>
      </c>
    </row>
    <row r="2" spans="1:4" x14ac:dyDescent="0.2">
      <c r="A2" s="1" t="s">
        <v>27</v>
      </c>
    </row>
    <row r="3" spans="1:4" x14ac:dyDescent="0.2">
      <c r="A3" s="1" t="s">
        <v>28</v>
      </c>
    </row>
    <row r="5" spans="1:4" x14ac:dyDescent="0.2">
      <c r="A5" s="73" t="s">
        <v>29</v>
      </c>
    </row>
    <row r="6" spans="1:4" x14ac:dyDescent="0.2">
      <c r="A6" s="4" t="s">
        <v>33</v>
      </c>
      <c r="C6" s="83" t="s">
        <v>36</v>
      </c>
    </row>
    <row r="7" spans="1:4" x14ac:dyDescent="0.2">
      <c r="A7" s="4" t="s">
        <v>30</v>
      </c>
      <c r="C7" s="81">
        <v>41275</v>
      </c>
      <c r="D7" s="101" t="s">
        <v>75</v>
      </c>
    </row>
    <row r="8" spans="1:4" x14ac:dyDescent="0.2">
      <c r="A8" s="4" t="s">
        <v>95</v>
      </c>
      <c r="C8" s="81">
        <v>43100</v>
      </c>
      <c r="D8" s="101" t="s">
        <v>75</v>
      </c>
    </row>
    <row r="9" spans="1:4" x14ac:dyDescent="0.2">
      <c r="A9" s="4" t="s">
        <v>102</v>
      </c>
      <c r="C9" s="65">
        <f>(DAYS360(C7,C8,FALSE))/30</f>
        <v>60</v>
      </c>
    </row>
    <row r="10" spans="1:4" x14ac:dyDescent="0.2">
      <c r="A10" s="80"/>
      <c r="B10" s="65"/>
      <c r="C10" s="92"/>
    </row>
    <row r="11" spans="1:4" x14ac:dyDescent="0.2">
      <c r="A11" s="4" t="str">
        <f>"Estimated Cost at"&amp;" "&amp;TEXT(C7,"m/dd/yyyy")</f>
        <v>Estimated Cost at 1/01/2013</v>
      </c>
      <c r="C11" s="84">
        <v>100000</v>
      </c>
      <c r="D11" s="101" t="s">
        <v>76</v>
      </c>
    </row>
    <row r="12" spans="1:4" x14ac:dyDescent="0.2">
      <c r="A12" s="4" t="s">
        <v>103</v>
      </c>
      <c r="C12" s="82">
        <v>0.03</v>
      </c>
      <c r="D12" s="101" t="s">
        <v>77</v>
      </c>
    </row>
    <row r="13" spans="1:4" x14ac:dyDescent="0.2">
      <c r="A13" s="4" t="str">
        <f>"Estimated Cost at"&amp;" "&amp;TEXT(C8,"m/dd/yyyy")</f>
        <v>Estimated Cost at 12/31/2017</v>
      </c>
      <c r="C13" s="74">
        <f>-FV(C12,C9/12,,C11,0)</f>
        <v>115927.40742999998</v>
      </c>
    </row>
    <row r="15" spans="1:4" x14ac:dyDescent="0.2">
      <c r="A15" s="4" t="s">
        <v>104</v>
      </c>
      <c r="C15" s="119">
        <f>C7</f>
        <v>41275</v>
      </c>
    </row>
    <row r="16" spans="1:4" x14ac:dyDescent="0.2">
      <c r="A16" s="80" t="s">
        <v>107</v>
      </c>
      <c r="C16" s="121">
        <v>3.7499999999999999E-2</v>
      </c>
    </row>
    <row r="17" spans="1:15" x14ac:dyDescent="0.2">
      <c r="A17" s="4" t="s">
        <v>105</v>
      </c>
      <c r="C17" s="121">
        <v>1.2500000000000001E-2</v>
      </c>
    </row>
    <row r="18" spans="1:15" x14ac:dyDescent="0.2">
      <c r="A18" t="str">
        <f>"Discount Rate at"&amp;" "&amp;TEXT(C15,"mm/dd/yyyy")</f>
        <v>Discount Rate at 01/01/2013</v>
      </c>
      <c r="C18" s="120">
        <f>C16+C17</f>
        <v>0.05</v>
      </c>
      <c r="D18" s="101" t="s">
        <v>78</v>
      </c>
    </row>
    <row r="19" spans="1:15" x14ac:dyDescent="0.2">
      <c r="C19" s="94"/>
    </row>
    <row r="20" spans="1:15" x14ac:dyDescent="0.2">
      <c r="A20" s="1" t="s">
        <v>34</v>
      </c>
    </row>
    <row r="21" spans="1:15" x14ac:dyDescent="0.2">
      <c r="A21" s="4">
        <v>1</v>
      </c>
      <c r="B21" s="134" t="s">
        <v>81</v>
      </c>
      <c r="C21" s="134"/>
      <c r="D21" s="134"/>
      <c r="E21" s="134"/>
      <c r="F21" s="134"/>
      <c r="G21" s="134"/>
      <c r="H21" s="134"/>
      <c r="I21" s="134"/>
      <c r="J21" s="134"/>
      <c r="K21" s="134"/>
      <c r="L21" s="134"/>
      <c r="M21" s="134"/>
      <c r="N21" s="134"/>
      <c r="O21" s="134"/>
    </row>
    <row r="22" spans="1:15" x14ac:dyDescent="0.2">
      <c r="A22" s="4"/>
      <c r="B22" s="134" t="s">
        <v>39</v>
      </c>
      <c r="C22" s="134"/>
      <c r="D22" s="134"/>
      <c r="E22" s="134"/>
      <c r="F22" s="134"/>
      <c r="G22" s="134"/>
      <c r="H22" s="134"/>
      <c r="I22" s="134"/>
      <c r="J22" s="134"/>
      <c r="K22" s="134"/>
      <c r="L22" s="134"/>
      <c r="M22" s="134"/>
      <c r="N22" s="134"/>
      <c r="O22" s="134"/>
    </row>
    <row r="23" spans="1:15" x14ac:dyDescent="0.2">
      <c r="A23" s="4">
        <v>2</v>
      </c>
      <c r="B23" s="134" t="s">
        <v>45</v>
      </c>
      <c r="C23" s="134"/>
      <c r="D23" s="134"/>
      <c r="E23" s="134"/>
      <c r="F23" s="134"/>
      <c r="G23" s="134"/>
      <c r="H23" s="134"/>
      <c r="I23" s="134"/>
      <c r="J23" s="134"/>
      <c r="K23" s="134"/>
      <c r="L23" s="134"/>
      <c r="M23" s="134"/>
      <c r="N23" s="134"/>
      <c r="O23" s="134"/>
    </row>
    <row r="24" spans="1:15" x14ac:dyDescent="0.2">
      <c r="B24" s="134" t="s">
        <v>37</v>
      </c>
      <c r="C24" s="134"/>
      <c r="D24" s="134"/>
      <c r="E24" s="134"/>
      <c r="F24" s="134"/>
      <c r="G24" s="134"/>
      <c r="H24" s="134"/>
      <c r="I24" s="134"/>
      <c r="J24" s="134"/>
      <c r="K24" s="134"/>
      <c r="L24" s="134"/>
      <c r="M24" s="134"/>
      <c r="N24" s="134"/>
      <c r="O24" s="134"/>
    </row>
    <row r="25" spans="1:15" x14ac:dyDescent="0.2">
      <c r="B25" s="134" t="s">
        <v>83</v>
      </c>
      <c r="C25" s="134"/>
      <c r="D25" s="134"/>
      <c r="E25" s="134"/>
      <c r="F25" s="134"/>
      <c r="G25" s="134"/>
      <c r="H25" s="134"/>
      <c r="I25" s="134"/>
      <c r="J25" s="134"/>
      <c r="K25" s="134"/>
      <c r="L25" s="134"/>
      <c r="M25" s="134"/>
      <c r="N25" s="134"/>
      <c r="O25" s="134"/>
    </row>
    <row r="26" spans="1:15" x14ac:dyDescent="0.2">
      <c r="B26" s="134" t="s">
        <v>90</v>
      </c>
      <c r="C26" s="134"/>
      <c r="D26" s="134"/>
      <c r="E26" s="134"/>
      <c r="F26" s="134"/>
      <c r="G26" s="134"/>
      <c r="H26" s="134"/>
      <c r="I26" s="134"/>
      <c r="J26" s="134"/>
      <c r="K26" s="134"/>
      <c r="L26" s="134"/>
      <c r="M26" s="134"/>
      <c r="N26" s="134"/>
      <c r="O26" s="134"/>
    </row>
    <row r="27" spans="1:15" x14ac:dyDescent="0.2">
      <c r="B27" s="4"/>
    </row>
    <row r="28" spans="1:15" x14ac:dyDescent="0.2">
      <c r="A28" s="1" t="s">
        <v>72</v>
      </c>
      <c r="B28" s="17"/>
      <c r="C28" s="17"/>
      <c r="D28" s="17"/>
      <c r="E28" s="17"/>
      <c r="F28" s="17"/>
      <c r="G28" s="17"/>
      <c r="H28" s="17"/>
      <c r="I28" s="17"/>
      <c r="J28" s="17"/>
      <c r="K28" s="17"/>
      <c r="L28" s="17"/>
      <c r="M28" s="17"/>
      <c r="N28" s="17"/>
      <c r="O28" s="17"/>
    </row>
    <row r="29" spans="1:15" x14ac:dyDescent="0.2">
      <c r="A29" s="101" t="s">
        <v>75</v>
      </c>
      <c r="B29" s="111" t="s">
        <v>95</v>
      </c>
      <c r="C29" s="132"/>
      <c r="D29" s="132"/>
      <c r="E29" s="132"/>
      <c r="F29" s="132"/>
      <c r="G29" s="132"/>
      <c r="H29" s="132"/>
      <c r="I29" s="132"/>
      <c r="J29" s="132"/>
      <c r="K29" s="132"/>
      <c r="L29" s="132"/>
      <c r="M29" s="132"/>
      <c r="N29" s="132"/>
      <c r="O29" s="132"/>
    </row>
    <row r="30" spans="1:15" ht="26.25" customHeight="1" x14ac:dyDescent="0.2">
      <c r="B30" s="130" t="s">
        <v>96</v>
      </c>
      <c r="C30" s="130"/>
      <c r="D30" s="130"/>
      <c r="E30" s="130"/>
      <c r="F30" s="130"/>
      <c r="G30" s="130"/>
      <c r="H30" s="130"/>
      <c r="I30" s="130"/>
      <c r="J30" s="130"/>
      <c r="K30" s="130"/>
      <c r="L30" s="130"/>
      <c r="M30" s="130"/>
      <c r="N30" s="130"/>
      <c r="O30" s="130"/>
    </row>
    <row r="31" spans="1:15" ht="25.5" customHeight="1" x14ac:dyDescent="0.2">
      <c r="B31" s="130" t="s">
        <v>97</v>
      </c>
      <c r="C31" s="130"/>
      <c r="D31" s="130"/>
      <c r="E31" s="130"/>
      <c r="F31" s="130"/>
      <c r="G31" s="130"/>
      <c r="H31" s="130"/>
      <c r="I31" s="130"/>
      <c r="J31" s="130"/>
      <c r="K31" s="130"/>
      <c r="L31" s="130"/>
      <c r="M31" s="130"/>
      <c r="N31" s="130"/>
      <c r="O31" s="130"/>
    </row>
    <row r="32" spans="1:15" x14ac:dyDescent="0.2">
      <c r="B32" s="130" t="s">
        <v>98</v>
      </c>
      <c r="C32" s="130"/>
      <c r="D32" s="130"/>
      <c r="E32" s="130"/>
      <c r="F32" s="130"/>
      <c r="G32" s="130"/>
      <c r="H32" s="130"/>
      <c r="I32" s="130"/>
      <c r="J32" s="130"/>
      <c r="K32" s="130"/>
      <c r="L32" s="130"/>
      <c r="M32" s="130"/>
      <c r="N32" s="130"/>
      <c r="O32" s="130"/>
    </row>
    <row r="33" spans="1:15" ht="16.5" customHeight="1" x14ac:dyDescent="0.2">
      <c r="B33" s="131"/>
      <c r="C33" s="131"/>
      <c r="D33" s="131"/>
      <c r="E33" s="131"/>
      <c r="F33" s="131"/>
      <c r="G33" s="131"/>
      <c r="H33" s="131"/>
      <c r="I33" s="131"/>
      <c r="J33" s="131"/>
      <c r="K33" s="131"/>
      <c r="L33" s="131"/>
      <c r="M33" s="131"/>
      <c r="N33" s="131"/>
      <c r="O33" s="131"/>
    </row>
    <row r="34" spans="1:15" x14ac:dyDescent="0.2">
      <c r="A34" s="101" t="s">
        <v>76</v>
      </c>
      <c r="B34" s="112" t="s">
        <v>74</v>
      </c>
      <c r="C34" s="132"/>
      <c r="D34" s="132"/>
      <c r="E34" s="132"/>
      <c r="F34" s="132"/>
      <c r="G34" s="132"/>
      <c r="H34" s="132"/>
      <c r="I34" s="132"/>
      <c r="J34" s="132"/>
      <c r="K34" s="132"/>
      <c r="L34" s="132"/>
      <c r="M34" s="132"/>
      <c r="N34" s="132"/>
      <c r="O34" s="132"/>
    </row>
    <row r="35" spans="1:15" ht="26.25" customHeight="1" x14ac:dyDescent="0.2">
      <c r="B35" s="130" t="s">
        <v>73</v>
      </c>
      <c r="C35" s="130"/>
      <c r="D35" s="130"/>
      <c r="E35" s="130"/>
      <c r="F35" s="130"/>
      <c r="G35" s="130"/>
      <c r="H35" s="130"/>
      <c r="I35" s="130"/>
      <c r="J35" s="130"/>
      <c r="K35" s="130"/>
      <c r="L35" s="130"/>
      <c r="M35" s="130"/>
      <c r="N35" s="130"/>
      <c r="O35" s="130"/>
    </row>
    <row r="36" spans="1:15" x14ac:dyDescent="0.2">
      <c r="A36" s="101" t="s">
        <v>77</v>
      </c>
      <c r="B36" s="133" t="s">
        <v>31</v>
      </c>
      <c r="C36" s="133"/>
      <c r="D36" s="133"/>
      <c r="E36" s="133"/>
      <c r="F36" s="133"/>
      <c r="G36" s="133"/>
      <c r="H36" s="133"/>
      <c r="I36" s="133"/>
      <c r="J36" s="133"/>
      <c r="K36" s="133"/>
      <c r="L36" s="133"/>
      <c r="M36" s="133"/>
      <c r="N36" s="133"/>
      <c r="O36" s="133"/>
    </row>
    <row r="37" spans="1:15" ht="27.75" customHeight="1" x14ac:dyDescent="0.2">
      <c r="B37" s="130" t="s">
        <v>80</v>
      </c>
      <c r="C37" s="130"/>
      <c r="D37" s="130"/>
      <c r="E37" s="130"/>
      <c r="F37" s="130"/>
      <c r="G37" s="130"/>
      <c r="H37" s="130"/>
      <c r="I37" s="130"/>
      <c r="J37" s="130"/>
      <c r="K37" s="130"/>
      <c r="L37" s="130"/>
      <c r="M37" s="130"/>
      <c r="N37" s="130"/>
      <c r="O37" s="130"/>
    </row>
    <row r="38" spans="1:15" x14ac:dyDescent="0.2">
      <c r="A38" s="101" t="s">
        <v>78</v>
      </c>
      <c r="B38" s="133" t="s">
        <v>79</v>
      </c>
      <c r="C38" s="133"/>
      <c r="D38" s="133"/>
      <c r="E38" s="133"/>
      <c r="F38" s="133"/>
      <c r="G38" s="133"/>
      <c r="H38" s="133"/>
      <c r="I38" s="133"/>
      <c r="J38" s="133"/>
      <c r="K38" s="133"/>
      <c r="L38" s="133"/>
      <c r="M38" s="133"/>
      <c r="N38" s="133"/>
      <c r="O38" s="133"/>
    </row>
    <row r="39" spans="1:15" ht="43.5" customHeight="1" x14ac:dyDescent="0.2">
      <c r="B39" s="129" t="s">
        <v>106</v>
      </c>
      <c r="C39" s="129"/>
      <c r="D39" s="129"/>
      <c r="E39" s="129"/>
      <c r="F39" s="129"/>
      <c r="G39" s="129"/>
      <c r="H39" s="129"/>
      <c r="I39" s="129"/>
      <c r="J39" s="129"/>
      <c r="K39" s="129"/>
      <c r="L39" s="129"/>
      <c r="M39" s="129"/>
      <c r="N39" s="129"/>
      <c r="O39" s="129"/>
    </row>
    <row r="40" spans="1:15" x14ac:dyDescent="0.2">
      <c r="B40" s="4"/>
    </row>
  </sheetData>
  <mergeCells count="17">
    <mergeCell ref="B26:O26"/>
    <mergeCell ref="B25:O25"/>
    <mergeCell ref="B24:O24"/>
    <mergeCell ref="B22:O22"/>
    <mergeCell ref="B21:O21"/>
    <mergeCell ref="B23:O23"/>
    <mergeCell ref="C29:O29"/>
    <mergeCell ref="C34:O34"/>
    <mergeCell ref="B36:O36"/>
    <mergeCell ref="B38:O38"/>
    <mergeCell ref="B37:O37"/>
    <mergeCell ref="B39:O39"/>
    <mergeCell ref="B30:O30"/>
    <mergeCell ref="B31:O31"/>
    <mergeCell ref="B32:O32"/>
    <mergeCell ref="B33:O33"/>
    <mergeCell ref="B35:O35"/>
  </mergeCells>
  <pageMargins left="0.7" right="0.7" top="0.75" bottom="0.75" header="0.3" footer="0.3"/>
  <pageSetup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264"/>
  <sheetViews>
    <sheetView workbookViewId="0">
      <pane xSplit="2" ySplit="14" topLeftCell="C15" activePane="bottomRight" state="frozen"/>
      <selection pane="topRight" activeCell="C1" sqref="C1"/>
      <selection pane="bottomLeft" activeCell="A11" sqref="A11"/>
      <selection pane="bottomRight" activeCell="C15" sqref="C15"/>
    </sheetView>
  </sheetViews>
  <sheetFormatPr defaultRowHeight="12.75" x14ac:dyDescent="0.2"/>
  <cols>
    <col min="1" max="1" width="25.28515625" customWidth="1"/>
    <col min="2" max="2" width="12.7109375" customWidth="1"/>
    <col min="3" max="3" width="16.5703125" bestFit="1" customWidth="1"/>
    <col min="4" max="4" width="15.5703125" customWidth="1"/>
    <col min="5" max="5" width="14" bestFit="1" customWidth="1"/>
    <col min="6" max="6" width="4.7109375" customWidth="1"/>
    <col min="7" max="7" width="12.7109375" style="2" customWidth="1"/>
    <col min="8" max="8" width="15.42578125" style="2" customWidth="1"/>
    <col min="9" max="9" width="12.7109375" style="3" customWidth="1"/>
    <col min="10" max="10" width="2.7109375" customWidth="1"/>
    <col min="11" max="11" width="15.7109375" style="1" customWidth="1"/>
    <col min="12" max="13" width="15.7109375" customWidth="1"/>
    <col min="14" max="15" width="15.7109375" style="1" customWidth="1"/>
    <col min="16" max="16" width="6.7109375" customWidth="1"/>
    <col min="17" max="18" width="12.7109375" style="2" customWidth="1"/>
    <col min="20" max="21" width="12.7109375" customWidth="1"/>
  </cols>
  <sheetData>
    <row r="1" spans="1:21" x14ac:dyDescent="0.2">
      <c r="A1" s="1" t="str">
        <f>'1-New ARO Terms'!A2</f>
        <v>EXAMPLE 1</v>
      </c>
    </row>
    <row r="2" spans="1:21" x14ac:dyDescent="0.2">
      <c r="A2" s="1" t="str">
        <f>'1-New ARO Terms'!A3</f>
        <v>ORIGINAL CREATION OF ARO</v>
      </c>
    </row>
    <row r="3" spans="1:21" x14ac:dyDescent="0.2">
      <c r="A3" s="1"/>
    </row>
    <row r="4" spans="1:21" x14ac:dyDescent="0.2">
      <c r="A4" s="4" t="s">
        <v>60</v>
      </c>
      <c r="B4" s="13" t="str">
        <f>'1-New ARO Terms'!C6</f>
        <v>RICHMOND</v>
      </c>
    </row>
    <row r="5" spans="1:21" x14ac:dyDescent="0.2">
      <c r="A5" s="4" t="s">
        <v>0</v>
      </c>
      <c r="B5" s="75">
        <f>'1-New ARO Terms'!C7</f>
        <v>41275</v>
      </c>
    </row>
    <row r="6" spans="1:21" x14ac:dyDescent="0.2">
      <c r="A6" s="4" t="s">
        <v>99</v>
      </c>
      <c r="B6" s="75">
        <f>'1-New ARO Terms'!C8</f>
        <v>43100</v>
      </c>
    </row>
    <row r="7" spans="1:21" x14ac:dyDescent="0.2">
      <c r="A7" s="126" t="s">
        <v>102</v>
      </c>
      <c r="B7" s="65">
        <f>'1-New ARO Terms'!C9</f>
        <v>60</v>
      </c>
      <c r="D7" s="5"/>
    </row>
    <row r="8" spans="1:21" x14ac:dyDescent="0.2">
      <c r="A8" s="126" t="s">
        <v>109</v>
      </c>
      <c r="B8">
        <f>10*12</f>
        <v>120</v>
      </c>
      <c r="D8" s="5"/>
    </row>
    <row r="9" spans="1:21" x14ac:dyDescent="0.2">
      <c r="A9" s="4" t="s">
        <v>110</v>
      </c>
      <c r="B9">
        <f>MIN(B7:B8)</f>
        <v>60</v>
      </c>
      <c r="D9" s="5"/>
    </row>
    <row r="10" spans="1:21" ht="13.5" thickBot="1" x14ac:dyDescent="0.25">
      <c r="A10" s="6"/>
      <c r="B10" s="29" t="s">
        <v>1</v>
      </c>
      <c r="C10" s="77">
        <f>'1-New ARO Terms'!C18</f>
        <v>0.05</v>
      </c>
      <c r="D10" s="5"/>
    </row>
    <row r="11" spans="1:21" ht="13.5" thickBot="1" x14ac:dyDescent="0.25">
      <c r="B11" s="1" t="s">
        <v>2</v>
      </c>
      <c r="C11" s="7">
        <f>C10/12</f>
        <v>4.1666666666666666E-3</v>
      </c>
      <c r="D11" s="7">
        <f>C11</f>
        <v>4.1666666666666666E-3</v>
      </c>
      <c r="E11" s="1"/>
      <c r="F11" s="1"/>
      <c r="G11" s="8"/>
      <c r="Q11" s="9" t="s">
        <v>3</v>
      </c>
      <c r="R11" s="10"/>
      <c r="T11" s="9" t="s">
        <v>4</v>
      </c>
      <c r="U11" s="11"/>
    </row>
    <row r="12" spans="1:21" ht="13.5" thickBot="1" x14ac:dyDescent="0.25">
      <c r="C12" s="135" t="s">
        <v>84</v>
      </c>
      <c r="D12" s="135"/>
      <c r="E12" s="135"/>
      <c r="G12" s="135" t="s">
        <v>85</v>
      </c>
      <c r="H12" s="135"/>
      <c r="I12" s="135"/>
      <c r="K12" s="135" t="s">
        <v>86</v>
      </c>
      <c r="L12" s="135"/>
      <c r="M12" s="135"/>
      <c r="N12" s="135"/>
      <c r="O12" s="135"/>
    </row>
    <row r="13" spans="1:21" x14ac:dyDescent="0.2">
      <c r="A13" s="13" t="s">
        <v>5</v>
      </c>
      <c r="B13" s="13" t="s">
        <v>6</v>
      </c>
      <c r="C13" s="12" t="s">
        <v>7</v>
      </c>
      <c r="D13" s="14" t="s">
        <v>8</v>
      </c>
      <c r="E13" s="15" t="s">
        <v>9</v>
      </c>
      <c r="G13" s="3" t="s">
        <v>10</v>
      </c>
      <c r="H13" s="3" t="s">
        <v>11</v>
      </c>
      <c r="I13" s="3" t="s">
        <v>12</v>
      </c>
      <c r="K13" s="3" t="s">
        <v>13</v>
      </c>
      <c r="L13" s="3" t="s">
        <v>14</v>
      </c>
      <c r="M13" s="3" t="s">
        <v>15</v>
      </c>
      <c r="N13" s="3" t="s">
        <v>16</v>
      </c>
      <c r="O13" s="3" t="s">
        <v>17</v>
      </c>
      <c r="Q13" s="3" t="s">
        <v>11</v>
      </c>
      <c r="R13" s="3" t="s">
        <v>18</v>
      </c>
      <c r="T13" s="3" t="s">
        <v>19</v>
      </c>
      <c r="U13" s="3" t="s">
        <v>20</v>
      </c>
    </row>
    <row r="14" spans="1:21" x14ac:dyDescent="0.2">
      <c r="A14" s="16"/>
      <c r="B14" s="16"/>
      <c r="C14" s="17"/>
      <c r="D14" s="18" t="s">
        <v>21</v>
      </c>
      <c r="E14" s="19" t="s">
        <v>22</v>
      </c>
      <c r="Q14" s="12" t="s">
        <v>23</v>
      </c>
      <c r="R14" s="12" t="s">
        <v>24</v>
      </c>
      <c r="T14" s="12" t="s">
        <v>23</v>
      </c>
      <c r="U14" s="12" t="s">
        <v>19</v>
      </c>
    </row>
    <row r="15" spans="1:21" s="65" customFormat="1" x14ac:dyDescent="0.2">
      <c r="A15" s="63">
        <v>0</v>
      </c>
      <c r="B15" s="76">
        <f>B5</f>
        <v>41275</v>
      </c>
      <c r="C15" s="22"/>
      <c r="D15" s="64">
        <f t="shared" ref="D15:D72" si="0">(1+D$11)^-A15</f>
        <v>1</v>
      </c>
      <c r="E15" s="23">
        <f t="shared" ref="E15:E72" si="1">C15*D15</f>
        <v>0</v>
      </c>
      <c r="F15" s="66"/>
      <c r="G15" s="31">
        <v>0</v>
      </c>
      <c r="H15" s="32">
        <f>ROUND(G15*C$11,2)</f>
        <v>0</v>
      </c>
      <c r="I15" s="33">
        <f>E75</f>
        <v>-90331.260754927411</v>
      </c>
      <c r="J15" s="66"/>
      <c r="K15" s="71">
        <f>-I15</f>
        <v>90331.260754927411</v>
      </c>
      <c r="L15" s="72"/>
      <c r="M15" s="72"/>
      <c r="N15" s="71"/>
      <c r="O15" s="71">
        <f t="shared" ref="O15:O75" si="2">K15+N15</f>
        <v>90331.260754927411</v>
      </c>
      <c r="P15" s="66"/>
      <c r="Q15" s="70">
        <f t="shared" ref="Q15:Q75" si="3">H15*-1</f>
        <v>0</v>
      </c>
      <c r="R15" s="70">
        <f t="shared" ref="R15:R75" si="4">-Q15</f>
        <v>0</v>
      </c>
      <c r="S15" s="72"/>
      <c r="T15" s="72">
        <f>-M15</f>
        <v>0</v>
      </c>
      <c r="U15" s="72">
        <f>-M15</f>
        <v>0</v>
      </c>
    </row>
    <row r="16" spans="1:21" x14ac:dyDescent="0.2">
      <c r="A16" s="20">
        <f t="shared" ref="A16:A75" si="5">A15+1</f>
        <v>1</v>
      </c>
      <c r="B16" s="21">
        <f>B15+30</f>
        <v>41305</v>
      </c>
      <c r="C16" s="22">
        <v>0</v>
      </c>
      <c r="D16" s="30">
        <f t="shared" si="0"/>
        <v>0.99585062240663902</v>
      </c>
      <c r="E16" s="23">
        <f t="shared" si="1"/>
        <v>0</v>
      </c>
      <c r="G16" s="31">
        <f>I15</f>
        <v>-90331.260754927411</v>
      </c>
      <c r="H16" s="32">
        <f t="shared" ref="H16:H72" si="6">ROUND(G16*C$11,2)</f>
        <v>-376.38</v>
      </c>
      <c r="I16" s="33">
        <f t="shared" ref="I16:I75" si="7">G16+H16</f>
        <v>-90707.640754927415</v>
      </c>
      <c r="J16" s="26"/>
      <c r="K16" s="34">
        <f t="shared" ref="K16:K75" si="8">K15</f>
        <v>90331.260754927411</v>
      </c>
      <c r="L16" s="35">
        <f>N15</f>
        <v>0</v>
      </c>
      <c r="M16" s="35">
        <f>-K16/B9</f>
        <v>-1505.5210125821236</v>
      </c>
      <c r="N16" s="34">
        <f>M16+L16</f>
        <v>-1505.5210125821236</v>
      </c>
      <c r="O16" s="34">
        <f t="shared" si="2"/>
        <v>88825.739742345293</v>
      </c>
      <c r="P16" s="26"/>
      <c r="Q16" s="36">
        <f>H16*-1</f>
        <v>376.38</v>
      </c>
      <c r="R16" s="36">
        <f t="shared" si="4"/>
        <v>-376.38</v>
      </c>
      <c r="S16" s="35"/>
      <c r="T16" s="35">
        <f>-M16</f>
        <v>1505.5210125821236</v>
      </c>
      <c r="U16" s="35">
        <f>M16</f>
        <v>-1505.5210125821236</v>
      </c>
    </row>
    <row r="17" spans="1:21" x14ac:dyDescent="0.2">
      <c r="A17" s="20">
        <f t="shared" si="5"/>
        <v>2</v>
      </c>
      <c r="B17" s="21">
        <f t="shared" ref="B17:B75" si="9">EDATE(B16,1)</f>
        <v>41333</v>
      </c>
      <c r="C17" s="22">
        <v>0</v>
      </c>
      <c r="D17" s="30">
        <f t="shared" si="0"/>
        <v>0.99171846214769022</v>
      </c>
      <c r="E17" s="23">
        <f t="shared" si="1"/>
        <v>0</v>
      </c>
      <c r="G17" s="31">
        <f t="shared" ref="G17:G75" si="10">I16</f>
        <v>-90707.640754927415</v>
      </c>
      <c r="H17" s="32">
        <f t="shared" si="6"/>
        <v>-377.95</v>
      </c>
      <c r="I17" s="33">
        <f t="shared" si="7"/>
        <v>-91085.590754927412</v>
      </c>
      <c r="J17" s="26"/>
      <c r="K17" s="34">
        <f t="shared" si="8"/>
        <v>90331.260754927411</v>
      </c>
      <c r="L17" s="35">
        <f>N16</f>
        <v>-1505.5210125821236</v>
      </c>
      <c r="M17" s="35">
        <f>M16</f>
        <v>-1505.5210125821236</v>
      </c>
      <c r="N17" s="34">
        <f t="shared" ref="N17:N75" si="11">M17+L17</f>
        <v>-3011.0420251642472</v>
      </c>
      <c r="O17" s="34">
        <f t="shared" si="2"/>
        <v>87320.218729763161</v>
      </c>
      <c r="P17" s="26"/>
      <c r="Q17" s="36">
        <f t="shared" si="3"/>
        <v>377.95</v>
      </c>
      <c r="R17" s="36">
        <f t="shared" si="4"/>
        <v>-377.95</v>
      </c>
      <c r="S17" s="35"/>
      <c r="T17" s="35">
        <f t="shared" ref="T17:T75" si="12">-M17</f>
        <v>1505.5210125821236</v>
      </c>
      <c r="U17" s="35">
        <f t="shared" ref="U17:U75" si="13">M17</f>
        <v>-1505.5210125821236</v>
      </c>
    </row>
    <row r="18" spans="1:21" x14ac:dyDescent="0.2">
      <c r="A18" s="20">
        <f t="shared" si="5"/>
        <v>3</v>
      </c>
      <c r="B18" s="21">
        <f t="shared" si="9"/>
        <v>41361</v>
      </c>
      <c r="C18" s="22">
        <v>0</v>
      </c>
      <c r="D18" s="30">
        <f t="shared" si="0"/>
        <v>0.9876034477819321</v>
      </c>
      <c r="E18" s="23">
        <f t="shared" si="1"/>
        <v>0</v>
      </c>
      <c r="G18" s="31">
        <f t="shared" si="10"/>
        <v>-91085.590754927412</v>
      </c>
      <c r="H18" s="32">
        <f t="shared" si="6"/>
        <v>-379.52</v>
      </c>
      <c r="I18" s="33">
        <f t="shared" si="7"/>
        <v>-91465.110754927417</v>
      </c>
      <c r="J18" s="26"/>
      <c r="K18" s="34">
        <f t="shared" si="8"/>
        <v>90331.260754927411</v>
      </c>
      <c r="L18" s="35">
        <f t="shared" ref="L18:L75" si="14">N17</f>
        <v>-3011.0420251642472</v>
      </c>
      <c r="M18" s="35">
        <f t="shared" ref="M18:M75" si="15">M17</f>
        <v>-1505.5210125821236</v>
      </c>
      <c r="N18" s="34">
        <f t="shared" si="11"/>
        <v>-4516.5630377463713</v>
      </c>
      <c r="O18" s="34">
        <f t="shared" si="2"/>
        <v>85814.697717181043</v>
      </c>
      <c r="P18" s="26"/>
      <c r="Q18" s="36">
        <f t="shared" si="3"/>
        <v>379.52</v>
      </c>
      <c r="R18" s="36">
        <f t="shared" si="4"/>
        <v>-379.52</v>
      </c>
      <c r="S18" s="35"/>
      <c r="T18" s="35">
        <f t="shared" si="12"/>
        <v>1505.5210125821236</v>
      </c>
      <c r="U18" s="35">
        <f t="shared" si="13"/>
        <v>-1505.5210125821236</v>
      </c>
    </row>
    <row r="19" spans="1:21" x14ac:dyDescent="0.2">
      <c r="A19" s="20">
        <f t="shared" si="5"/>
        <v>4</v>
      </c>
      <c r="B19" s="21">
        <f t="shared" si="9"/>
        <v>41392</v>
      </c>
      <c r="C19" s="22">
        <v>0</v>
      </c>
      <c r="D19" s="30">
        <f t="shared" ref="D19:D66" si="16">(1+D$11)^-A19</f>
        <v>0.98350550816457971</v>
      </c>
      <c r="E19" s="23">
        <f t="shared" si="1"/>
        <v>0</v>
      </c>
      <c r="G19" s="31">
        <f t="shared" ref="G19:G66" si="17">I18</f>
        <v>-91465.110754927417</v>
      </c>
      <c r="H19" s="32">
        <f t="shared" ref="H19:H66" si="18">ROUND(G19*C$11,2)</f>
        <v>-381.1</v>
      </c>
      <c r="I19" s="33">
        <f t="shared" ref="I19:I66" si="19">G19+H19</f>
        <v>-91846.210754927422</v>
      </c>
      <c r="J19" s="26"/>
      <c r="K19" s="34">
        <f t="shared" si="8"/>
        <v>90331.260754927411</v>
      </c>
      <c r="L19" s="35">
        <f t="shared" ref="L19:L66" si="20">N18</f>
        <v>-4516.5630377463713</v>
      </c>
      <c r="M19" s="35">
        <f t="shared" si="15"/>
        <v>-1505.5210125821236</v>
      </c>
      <c r="N19" s="34">
        <f t="shared" ref="N19:N66" si="21">M19+L19</f>
        <v>-6022.0840503284944</v>
      </c>
      <c r="O19" s="34">
        <f t="shared" ref="O19:O66" si="22">K19+N19</f>
        <v>84309.176704598911</v>
      </c>
      <c r="P19" s="26"/>
      <c r="Q19" s="36">
        <f t="shared" ref="Q19:Q66" si="23">H19*-1</f>
        <v>381.1</v>
      </c>
      <c r="R19" s="36">
        <f t="shared" ref="R19:R66" si="24">-Q19</f>
        <v>-381.1</v>
      </c>
      <c r="S19" s="35"/>
      <c r="T19" s="35">
        <f t="shared" ref="T19:T66" si="25">-M19</f>
        <v>1505.5210125821236</v>
      </c>
      <c r="U19" s="35">
        <f t="shared" ref="U19:U66" si="26">M19</f>
        <v>-1505.5210125821236</v>
      </c>
    </row>
    <row r="20" spans="1:21" x14ac:dyDescent="0.2">
      <c r="A20" s="20">
        <f t="shared" si="5"/>
        <v>5</v>
      </c>
      <c r="B20" s="21">
        <f t="shared" si="9"/>
        <v>41422</v>
      </c>
      <c r="C20" s="22">
        <v>0</v>
      </c>
      <c r="D20" s="30">
        <f t="shared" si="16"/>
        <v>0.97942457244605463</v>
      </c>
      <c r="E20" s="23">
        <f t="shared" si="1"/>
        <v>0</v>
      </c>
      <c r="G20" s="31">
        <f t="shared" si="17"/>
        <v>-91846.210754927422</v>
      </c>
      <c r="H20" s="32">
        <f t="shared" si="18"/>
        <v>-382.69</v>
      </c>
      <c r="I20" s="33">
        <f t="shared" si="19"/>
        <v>-92228.900754927425</v>
      </c>
      <c r="J20" s="26"/>
      <c r="K20" s="34">
        <f t="shared" si="8"/>
        <v>90331.260754927411</v>
      </c>
      <c r="L20" s="35">
        <f t="shared" si="20"/>
        <v>-6022.0840503284944</v>
      </c>
      <c r="M20" s="35">
        <f t="shared" si="15"/>
        <v>-1505.5210125821236</v>
      </c>
      <c r="N20" s="34">
        <f t="shared" si="21"/>
        <v>-7527.6050629106176</v>
      </c>
      <c r="O20" s="34">
        <f t="shared" si="22"/>
        <v>82803.655692016793</v>
      </c>
      <c r="P20" s="26"/>
      <c r="Q20" s="36">
        <f t="shared" si="23"/>
        <v>382.69</v>
      </c>
      <c r="R20" s="36">
        <f t="shared" si="24"/>
        <v>-382.69</v>
      </c>
      <c r="S20" s="35"/>
      <c r="T20" s="35">
        <f t="shared" si="25"/>
        <v>1505.5210125821236</v>
      </c>
      <c r="U20" s="35">
        <f t="shared" si="26"/>
        <v>-1505.5210125821236</v>
      </c>
    </row>
    <row r="21" spans="1:21" x14ac:dyDescent="0.2">
      <c r="A21" s="20">
        <f t="shared" si="5"/>
        <v>6</v>
      </c>
      <c r="B21" s="21">
        <f t="shared" si="9"/>
        <v>41453</v>
      </c>
      <c r="C21" s="22">
        <v>0</v>
      </c>
      <c r="D21" s="30">
        <f t="shared" si="16"/>
        <v>0.97536057007075971</v>
      </c>
      <c r="E21" s="23">
        <f t="shared" si="1"/>
        <v>0</v>
      </c>
      <c r="G21" s="31">
        <f t="shared" si="17"/>
        <v>-92228.900754927425</v>
      </c>
      <c r="H21" s="32">
        <f t="shared" si="18"/>
        <v>-384.29</v>
      </c>
      <c r="I21" s="33">
        <f t="shared" si="19"/>
        <v>-92613.190754927418</v>
      </c>
      <c r="J21" s="26"/>
      <c r="K21" s="34">
        <f t="shared" si="8"/>
        <v>90331.260754927411</v>
      </c>
      <c r="L21" s="35">
        <f t="shared" si="20"/>
        <v>-7527.6050629106176</v>
      </c>
      <c r="M21" s="35">
        <f t="shared" si="15"/>
        <v>-1505.5210125821236</v>
      </c>
      <c r="N21" s="34">
        <f t="shared" si="21"/>
        <v>-9033.1260754927407</v>
      </c>
      <c r="O21" s="34">
        <f t="shared" si="22"/>
        <v>81298.134679434675</v>
      </c>
      <c r="P21" s="26"/>
      <c r="Q21" s="36">
        <f t="shared" si="23"/>
        <v>384.29</v>
      </c>
      <c r="R21" s="36">
        <f t="shared" si="24"/>
        <v>-384.29</v>
      </c>
      <c r="S21" s="35"/>
      <c r="T21" s="35">
        <f t="shared" si="25"/>
        <v>1505.5210125821236</v>
      </c>
      <c r="U21" s="35">
        <f t="shared" si="26"/>
        <v>-1505.5210125821236</v>
      </c>
    </row>
    <row r="22" spans="1:21" x14ac:dyDescent="0.2">
      <c r="A22" s="20">
        <f t="shared" si="5"/>
        <v>7</v>
      </c>
      <c r="B22" s="21">
        <f t="shared" si="9"/>
        <v>41483</v>
      </c>
      <c r="C22" s="22">
        <v>0</v>
      </c>
      <c r="D22" s="30">
        <f t="shared" si="16"/>
        <v>0.97131343077586008</v>
      </c>
      <c r="E22" s="23">
        <f t="shared" si="1"/>
        <v>0</v>
      </c>
      <c r="G22" s="31">
        <f t="shared" si="17"/>
        <v>-92613.190754927418</v>
      </c>
      <c r="H22" s="32">
        <f t="shared" si="18"/>
        <v>-385.89</v>
      </c>
      <c r="I22" s="33">
        <f t="shared" si="19"/>
        <v>-92999.080754927418</v>
      </c>
      <c r="J22" s="26"/>
      <c r="K22" s="34">
        <f t="shared" si="8"/>
        <v>90331.260754927411</v>
      </c>
      <c r="L22" s="35">
        <f t="shared" si="20"/>
        <v>-9033.1260754927407</v>
      </c>
      <c r="M22" s="35">
        <f t="shared" si="15"/>
        <v>-1505.5210125821236</v>
      </c>
      <c r="N22" s="34">
        <f t="shared" si="21"/>
        <v>-10538.647088074864</v>
      </c>
      <c r="O22" s="34">
        <f t="shared" si="22"/>
        <v>79792.613666852543</v>
      </c>
      <c r="P22" s="26"/>
      <c r="Q22" s="36">
        <f t="shared" si="23"/>
        <v>385.89</v>
      </c>
      <c r="R22" s="36">
        <f t="shared" si="24"/>
        <v>-385.89</v>
      </c>
      <c r="S22" s="35"/>
      <c r="T22" s="35">
        <f t="shared" si="25"/>
        <v>1505.5210125821236</v>
      </c>
      <c r="U22" s="35">
        <f t="shared" si="26"/>
        <v>-1505.5210125821236</v>
      </c>
    </row>
    <row r="23" spans="1:21" x14ac:dyDescent="0.2">
      <c r="A23" s="20">
        <f t="shared" si="5"/>
        <v>8</v>
      </c>
      <c r="B23" s="21">
        <f t="shared" si="9"/>
        <v>41514</v>
      </c>
      <c r="C23" s="22">
        <v>0</v>
      </c>
      <c r="D23" s="30">
        <f t="shared" si="16"/>
        <v>0.96728308459006829</v>
      </c>
      <c r="E23" s="23">
        <f t="shared" si="1"/>
        <v>0</v>
      </c>
      <c r="G23" s="31">
        <f t="shared" si="17"/>
        <v>-92999.080754927418</v>
      </c>
      <c r="H23" s="32">
        <f t="shared" si="18"/>
        <v>-387.5</v>
      </c>
      <c r="I23" s="33">
        <f t="shared" si="19"/>
        <v>-93386.580754927418</v>
      </c>
      <c r="J23" s="26"/>
      <c r="K23" s="34">
        <f t="shared" si="8"/>
        <v>90331.260754927411</v>
      </c>
      <c r="L23" s="35">
        <f t="shared" si="20"/>
        <v>-10538.647088074864</v>
      </c>
      <c r="M23" s="35">
        <f t="shared" si="15"/>
        <v>-1505.5210125821236</v>
      </c>
      <c r="N23" s="34">
        <f t="shared" si="21"/>
        <v>-12044.168100656987</v>
      </c>
      <c r="O23" s="34">
        <f t="shared" si="22"/>
        <v>78287.092654270426</v>
      </c>
      <c r="P23" s="26"/>
      <c r="Q23" s="36">
        <f t="shared" si="23"/>
        <v>387.5</v>
      </c>
      <c r="R23" s="36">
        <f t="shared" si="24"/>
        <v>-387.5</v>
      </c>
      <c r="S23" s="35"/>
      <c r="T23" s="35">
        <f t="shared" si="25"/>
        <v>1505.5210125821236</v>
      </c>
      <c r="U23" s="35">
        <f t="shared" si="26"/>
        <v>-1505.5210125821236</v>
      </c>
    </row>
    <row r="24" spans="1:21" x14ac:dyDescent="0.2">
      <c r="A24" s="20">
        <f t="shared" si="5"/>
        <v>9</v>
      </c>
      <c r="B24" s="21">
        <f t="shared" si="9"/>
        <v>41545</v>
      </c>
      <c r="C24" s="22">
        <v>0</v>
      </c>
      <c r="D24" s="30">
        <f t="shared" si="16"/>
        <v>0.96326946183243312</v>
      </c>
      <c r="E24" s="23">
        <f t="shared" si="1"/>
        <v>0</v>
      </c>
      <c r="G24" s="31">
        <f t="shared" si="17"/>
        <v>-93386.580754927418</v>
      </c>
      <c r="H24" s="32">
        <f t="shared" si="18"/>
        <v>-389.11</v>
      </c>
      <c r="I24" s="33">
        <f t="shared" si="19"/>
        <v>-93775.690754927418</v>
      </c>
      <c r="J24" s="26"/>
      <c r="K24" s="34">
        <f t="shared" si="8"/>
        <v>90331.260754927411</v>
      </c>
      <c r="L24" s="35">
        <f t="shared" si="20"/>
        <v>-12044.168100656987</v>
      </c>
      <c r="M24" s="35">
        <f t="shared" si="15"/>
        <v>-1505.5210125821236</v>
      </c>
      <c r="N24" s="34">
        <f t="shared" si="21"/>
        <v>-13549.68911323911</v>
      </c>
      <c r="O24" s="34">
        <f t="shared" si="22"/>
        <v>76781.571641688293</v>
      </c>
      <c r="P24" s="26"/>
      <c r="Q24" s="36">
        <f t="shared" si="23"/>
        <v>389.11</v>
      </c>
      <c r="R24" s="36">
        <f t="shared" si="24"/>
        <v>-389.11</v>
      </c>
      <c r="S24" s="35"/>
      <c r="T24" s="35">
        <f t="shared" si="25"/>
        <v>1505.5210125821236</v>
      </c>
      <c r="U24" s="35">
        <f t="shared" si="26"/>
        <v>-1505.5210125821236</v>
      </c>
    </row>
    <row r="25" spans="1:21" x14ac:dyDescent="0.2">
      <c r="A25" s="20">
        <f t="shared" si="5"/>
        <v>10</v>
      </c>
      <c r="B25" s="21">
        <f t="shared" si="9"/>
        <v>41575</v>
      </c>
      <c r="C25" s="22">
        <v>0</v>
      </c>
      <c r="D25" s="30">
        <f t="shared" si="16"/>
        <v>0.9592724931111366</v>
      </c>
      <c r="E25" s="23">
        <f t="shared" si="1"/>
        <v>0</v>
      </c>
      <c r="G25" s="31">
        <f t="shared" si="17"/>
        <v>-93775.690754927418</v>
      </c>
      <c r="H25" s="32">
        <f t="shared" si="18"/>
        <v>-390.73</v>
      </c>
      <c r="I25" s="33">
        <f t="shared" si="19"/>
        <v>-94166.420754927414</v>
      </c>
      <c r="J25" s="26"/>
      <c r="K25" s="34">
        <f t="shared" si="8"/>
        <v>90331.260754927411</v>
      </c>
      <c r="L25" s="35">
        <f t="shared" si="20"/>
        <v>-13549.68911323911</v>
      </c>
      <c r="M25" s="35">
        <f t="shared" si="15"/>
        <v>-1505.5210125821236</v>
      </c>
      <c r="N25" s="34">
        <f t="shared" si="21"/>
        <v>-15055.210125821233</v>
      </c>
      <c r="O25" s="34">
        <f t="shared" si="22"/>
        <v>75276.050629106176</v>
      </c>
      <c r="P25" s="26"/>
      <c r="Q25" s="36">
        <f t="shared" si="23"/>
        <v>390.73</v>
      </c>
      <c r="R25" s="36">
        <f t="shared" si="24"/>
        <v>-390.73</v>
      </c>
      <c r="S25" s="35"/>
      <c r="T25" s="35">
        <f t="shared" si="25"/>
        <v>1505.5210125821236</v>
      </c>
      <c r="U25" s="35">
        <f t="shared" si="26"/>
        <v>-1505.5210125821236</v>
      </c>
    </row>
    <row r="26" spans="1:21" x14ac:dyDescent="0.2">
      <c r="A26" s="20">
        <f t="shared" si="5"/>
        <v>11</v>
      </c>
      <c r="B26" s="21">
        <f t="shared" si="9"/>
        <v>41606</v>
      </c>
      <c r="C26" s="22">
        <v>0</v>
      </c>
      <c r="D26" s="30">
        <f t="shared" si="16"/>
        <v>0.9552921093222938</v>
      </c>
      <c r="E26" s="23">
        <f t="shared" si="1"/>
        <v>0</v>
      </c>
      <c r="G26" s="31">
        <f t="shared" si="17"/>
        <v>-94166.420754927414</v>
      </c>
      <c r="H26" s="32">
        <f t="shared" si="18"/>
        <v>-392.36</v>
      </c>
      <c r="I26" s="33">
        <f t="shared" si="19"/>
        <v>-94558.780754927415</v>
      </c>
      <c r="J26" s="26"/>
      <c r="K26" s="34">
        <f t="shared" si="8"/>
        <v>90331.260754927411</v>
      </c>
      <c r="L26" s="35">
        <f t="shared" si="20"/>
        <v>-15055.210125821233</v>
      </c>
      <c r="M26" s="35">
        <f t="shared" si="15"/>
        <v>-1505.5210125821236</v>
      </c>
      <c r="N26" s="34">
        <f t="shared" si="21"/>
        <v>-16560.731138403356</v>
      </c>
      <c r="O26" s="34">
        <f t="shared" si="22"/>
        <v>73770.529616524058</v>
      </c>
      <c r="P26" s="26"/>
      <c r="Q26" s="36">
        <f t="shared" si="23"/>
        <v>392.36</v>
      </c>
      <c r="R26" s="36">
        <f t="shared" si="24"/>
        <v>-392.36</v>
      </c>
      <c r="S26" s="35"/>
      <c r="T26" s="35">
        <f t="shared" si="25"/>
        <v>1505.5210125821236</v>
      </c>
      <c r="U26" s="35">
        <f t="shared" si="26"/>
        <v>-1505.5210125821236</v>
      </c>
    </row>
    <row r="27" spans="1:21" x14ac:dyDescent="0.2">
      <c r="A27" s="20">
        <f t="shared" si="5"/>
        <v>12</v>
      </c>
      <c r="B27" s="21">
        <f t="shared" si="9"/>
        <v>41636</v>
      </c>
      <c r="C27" s="22">
        <v>0</v>
      </c>
      <c r="D27" s="30">
        <f t="shared" si="16"/>
        <v>0.95132824164875729</v>
      </c>
      <c r="E27" s="23">
        <f t="shared" si="1"/>
        <v>0</v>
      </c>
      <c r="G27" s="31">
        <f t="shared" si="17"/>
        <v>-94558.780754927415</v>
      </c>
      <c r="H27" s="32">
        <f t="shared" si="18"/>
        <v>-393.99</v>
      </c>
      <c r="I27" s="33">
        <f t="shared" si="19"/>
        <v>-94952.77075492742</v>
      </c>
      <c r="J27" s="26"/>
      <c r="K27" s="34">
        <f t="shared" si="8"/>
        <v>90331.260754927411</v>
      </c>
      <c r="L27" s="35">
        <f t="shared" si="20"/>
        <v>-16560.731138403356</v>
      </c>
      <c r="M27" s="35">
        <f t="shared" si="15"/>
        <v>-1505.5210125821236</v>
      </c>
      <c r="N27" s="34">
        <f t="shared" si="21"/>
        <v>-18066.252150985481</v>
      </c>
      <c r="O27" s="34">
        <f t="shared" si="22"/>
        <v>72265.008603941926</v>
      </c>
      <c r="P27" s="26"/>
      <c r="Q27" s="36">
        <f t="shared" si="23"/>
        <v>393.99</v>
      </c>
      <c r="R27" s="36">
        <f t="shared" si="24"/>
        <v>-393.99</v>
      </c>
      <c r="S27" s="35"/>
      <c r="T27" s="35">
        <f t="shared" si="25"/>
        <v>1505.5210125821236</v>
      </c>
      <c r="U27" s="35">
        <f t="shared" si="26"/>
        <v>-1505.5210125821236</v>
      </c>
    </row>
    <row r="28" spans="1:21" x14ac:dyDescent="0.2">
      <c r="A28" s="20">
        <f t="shared" si="5"/>
        <v>13</v>
      </c>
      <c r="B28" s="21">
        <f t="shared" si="9"/>
        <v>41667</v>
      </c>
      <c r="C28" s="22">
        <v>0</v>
      </c>
      <c r="D28" s="30">
        <f t="shared" si="16"/>
        <v>0.94738082155892855</v>
      </c>
      <c r="E28" s="23">
        <f t="shared" si="1"/>
        <v>0</v>
      </c>
      <c r="G28" s="31">
        <f t="shared" si="17"/>
        <v>-94952.77075492742</v>
      </c>
      <c r="H28" s="32">
        <f t="shared" si="18"/>
        <v>-395.64</v>
      </c>
      <c r="I28" s="33">
        <f t="shared" si="19"/>
        <v>-95348.410754927419</v>
      </c>
      <c r="J28" s="26"/>
      <c r="K28" s="34">
        <f t="shared" si="8"/>
        <v>90331.260754927411</v>
      </c>
      <c r="L28" s="35">
        <f t="shared" si="20"/>
        <v>-18066.252150985481</v>
      </c>
      <c r="M28" s="35">
        <f t="shared" si="15"/>
        <v>-1505.5210125821236</v>
      </c>
      <c r="N28" s="34">
        <f t="shared" si="21"/>
        <v>-19571.773163567606</v>
      </c>
      <c r="O28" s="34">
        <f t="shared" si="22"/>
        <v>70759.487591359808</v>
      </c>
      <c r="P28" s="26"/>
      <c r="Q28" s="36">
        <f t="shared" si="23"/>
        <v>395.64</v>
      </c>
      <c r="R28" s="36">
        <f t="shared" si="24"/>
        <v>-395.64</v>
      </c>
      <c r="S28" s="35"/>
      <c r="T28" s="35">
        <f t="shared" si="25"/>
        <v>1505.5210125821236</v>
      </c>
      <c r="U28" s="35">
        <f t="shared" si="26"/>
        <v>-1505.5210125821236</v>
      </c>
    </row>
    <row r="29" spans="1:21" x14ac:dyDescent="0.2">
      <c r="A29" s="20">
        <f t="shared" si="5"/>
        <v>14</v>
      </c>
      <c r="B29" s="21">
        <f t="shared" si="9"/>
        <v>41698</v>
      </c>
      <c r="C29" s="22">
        <v>0</v>
      </c>
      <c r="D29" s="30">
        <f t="shared" si="16"/>
        <v>0.94344978080557196</v>
      </c>
      <c r="E29" s="23">
        <f t="shared" si="1"/>
        <v>0</v>
      </c>
      <c r="G29" s="31">
        <f t="shared" si="17"/>
        <v>-95348.410754927419</v>
      </c>
      <c r="H29" s="32">
        <f t="shared" si="18"/>
        <v>-397.29</v>
      </c>
      <c r="I29" s="33">
        <f t="shared" si="19"/>
        <v>-95745.700754927413</v>
      </c>
      <c r="J29" s="26"/>
      <c r="K29" s="34">
        <f t="shared" si="8"/>
        <v>90331.260754927411</v>
      </c>
      <c r="L29" s="35">
        <f t="shared" si="20"/>
        <v>-19571.773163567606</v>
      </c>
      <c r="M29" s="35">
        <f t="shared" si="15"/>
        <v>-1505.5210125821236</v>
      </c>
      <c r="N29" s="34">
        <f t="shared" si="21"/>
        <v>-21077.294176149731</v>
      </c>
      <c r="O29" s="34">
        <f t="shared" si="22"/>
        <v>69253.966578777676</v>
      </c>
      <c r="P29" s="26"/>
      <c r="Q29" s="36">
        <f t="shared" si="23"/>
        <v>397.29</v>
      </c>
      <c r="R29" s="36">
        <f t="shared" si="24"/>
        <v>-397.29</v>
      </c>
      <c r="S29" s="35"/>
      <c r="T29" s="35">
        <f t="shared" si="25"/>
        <v>1505.5210125821236</v>
      </c>
      <c r="U29" s="35">
        <f t="shared" si="26"/>
        <v>-1505.5210125821236</v>
      </c>
    </row>
    <row r="30" spans="1:21" x14ac:dyDescent="0.2">
      <c r="A30" s="20">
        <f t="shared" si="5"/>
        <v>15</v>
      </c>
      <c r="B30" s="21">
        <f t="shared" si="9"/>
        <v>41726</v>
      </c>
      <c r="C30" s="22">
        <v>0</v>
      </c>
      <c r="D30" s="30">
        <f t="shared" si="16"/>
        <v>0.93953505142463567</v>
      </c>
      <c r="E30" s="23">
        <f t="shared" si="1"/>
        <v>0</v>
      </c>
      <c r="G30" s="31">
        <f t="shared" si="17"/>
        <v>-95745.700754927413</v>
      </c>
      <c r="H30" s="32">
        <f t="shared" si="18"/>
        <v>-398.94</v>
      </c>
      <c r="I30" s="33">
        <f t="shared" si="19"/>
        <v>-96144.640754927415</v>
      </c>
      <c r="J30" s="26"/>
      <c r="K30" s="34">
        <f t="shared" si="8"/>
        <v>90331.260754927411</v>
      </c>
      <c r="L30" s="35">
        <f t="shared" si="20"/>
        <v>-21077.294176149731</v>
      </c>
      <c r="M30" s="35">
        <f t="shared" si="15"/>
        <v>-1505.5210125821236</v>
      </c>
      <c r="N30" s="34">
        <f t="shared" si="21"/>
        <v>-22582.815188731856</v>
      </c>
      <c r="O30" s="34">
        <f t="shared" si="22"/>
        <v>67748.445566195558</v>
      </c>
      <c r="P30" s="26"/>
      <c r="Q30" s="36">
        <f t="shared" si="23"/>
        <v>398.94</v>
      </c>
      <c r="R30" s="36">
        <f t="shared" si="24"/>
        <v>-398.94</v>
      </c>
      <c r="S30" s="35"/>
      <c r="T30" s="35">
        <f t="shared" si="25"/>
        <v>1505.5210125821236</v>
      </c>
      <c r="U30" s="35">
        <f t="shared" si="26"/>
        <v>-1505.5210125821236</v>
      </c>
    </row>
    <row r="31" spans="1:21" x14ac:dyDescent="0.2">
      <c r="A31" s="20">
        <f t="shared" si="5"/>
        <v>16</v>
      </c>
      <c r="B31" s="21">
        <f t="shared" si="9"/>
        <v>41757</v>
      </c>
      <c r="C31" s="22">
        <v>0</v>
      </c>
      <c r="D31" s="30">
        <f t="shared" si="16"/>
        <v>0.93563656573407716</v>
      </c>
      <c r="E31" s="23">
        <f t="shared" si="1"/>
        <v>0</v>
      </c>
      <c r="G31" s="31">
        <f t="shared" si="17"/>
        <v>-96144.640754927415</v>
      </c>
      <c r="H31" s="32">
        <f t="shared" si="18"/>
        <v>-400.6</v>
      </c>
      <c r="I31" s="33">
        <f t="shared" si="19"/>
        <v>-96545.240754927421</v>
      </c>
      <c r="J31" s="26"/>
      <c r="K31" s="34">
        <f t="shared" si="8"/>
        <v>90331.260754927411</v>
      </c>
      <c r="L31" s="35">
        <f t="shared" si="20"/>
        <v>-22582.815188731856</v>
      </c>
      <c r="M31" s="35">
        <f t="shared" si="15"/>
        <v>-1505.5210125821236</v>
      </c>
      <c r="N31" s="34">
        <f t="shared" si="21"/>
        <v>-24088.336201313981</v>
      </c>
      <c r="O31" s="34">
        <f t="shared" si="22"/>
        <v>66242.924553613426</v>
      </c>
      <c r="P31" s="26"/>
      <c r="Q31" s="36">
        <f t="shared" si="23"/>
        <v>400.6</v>
      </c>
      <c r="R31" s="36">
        <f t="shared" si="24"/>
        <v>-400.6</v>
      </c>
      <c r="S31" s="35"/>
      <c r="T31" s="35">
        <f t="shared" si="25"/>
        <v>1505.5210125821236</v>
      </c>
      <c r="U31" s="35">
        <f t="shared" si="26"/>
        <v>-1505.5210125821236</v>
      </c>
    </row>
    <row r="32" spans="1:21" x14ac:dyDescent="0.2">
      <c r="A32" s="20">
        <f t="shared" si="5"/>
        <v>17</v>
      </c>
      <c r="B32" s="21">
        <f t="shared" si="9"/>
        <v>41787</v>
      </c>
      <c r="C32" s="22">
        <v>0</v>
      </c>
      <c r="D32" s="30">
        <f t="shared" si="16"/>
        <v>0.93175425633269093</v>
      </c>
      <c r="E32" s="23">
        <f t="shared" si="1"/>
        <v>0</v>
      </c>
      <c r="G32" s="31">
        <f t="shared" si="17"/>
        <v>-96545.240754927421</v>
      </c>
      <c r="H32" s="32">
        <f t="shared" si="18"/>
        <v>-402.27</v>
      </c>
      <c r="I32" s="33">
        <f t="shared" si="19"/>
        <v>-96947.510754927425</v>
      </c>
      <c r="J32" s="26"/>
      <c r="K32" s="34">
        <f t="shared" si="8"/>
        <v>90331.260754927411</v>
      </c>
      <c r="L32" s="35">
        <f t="shared" si="20"/>
        <v>-24088.336201313981</v>
      </c>
      <c r="M32" s="35">
        <f t="shared" si="15"/>
        <v>-1505.5210125821236</v>
      </c>
      <c r="N32" s="34">
        <f t="shared" si="21"/>
        <v>-25593.857213896106</v>
      </c>
      <c r="O32" s="34">
        <f t="shared" si="22"/>
        <v>64737.403541031308</v>
      </c>
      <c r="P32" s="26"/>
      <c r="Q32" s="36">
        <f t="shared" si="23"/>
        <v>402.27</v>
      </c>
      <c r="R32" s="36">
        <f t="shared" si="24"/>
        <v>-402.27</v>
      </c>
      <c r="S32" s="35"/>
      <c r="T32" s="35">
        <f t="shared" si="25"/>
        <v>1505.5210125821236</v>
      </c>
      <c r="U32" s="35">
        <f t="shared" si="26"/>
        <v>-1505.5210125821236</v>
      </c>
    </row>
    <row r="33" spans="1:21" x14ac:dyDescent="0.2">
      <c r="A33" s="20">
        <f t="shared" si="5"/>
        <v>18</v>
      </c>
      <c r="B33" s="21">
        <f t="shared" si="9"/>
        <v>41818</v>
      </c>
      <c r="C33" s="22">
        <v>0</v>
      </c>
      <c r="D33" s="30">
        <f t="shared" si="16"/>
        <v>0.92788805609894542</v>
      </c>
      <c r="E33" s="23">
        <f t="shared" si="1"/>
        <v>0</v>
      </c>
      <c r="G33" s="31">
        <f t="shared" si="17"/>
        <v>-96947.510754927425</v>
      </c>
      <c r="H33" s="32">
        <f t="shared" si="18"/>
        <v>-403.95</v>
      </c>
      <c r="I33" s="33">
        <f t="shared" si="19"/>
        <v>-97351.460754927422</v>
      </c>
      <c r="J33" s="26"/>
      <c r="K33" s="34">
        <f t="shared" si="8"/>
        <v>90331.260754927411</v>
      </c>
      <c r="L33" s="35">
        <f t="shared" si="20"/>
        <v>-25593.857213896106</v>
      </c>
      <c r="M33" s="35">
        <f t="shared" si="15"/>
        <v>-1505.5210125821236</v>
      </c>
      <c r="N33" s="34">
        <f t="shared" si="21"/>
        <v>-27099.378226478231</v>
      </c>
      <c r="O33" s="34">
        <f t="shared" si="22"/>
        <v>63231.882528449176</v>
      </c>
      <c r="P33" s="26"/>
      <c r="Q33" s="36">
        <f t="shared" si="23"/>
        <v>403.95</v>
      </c>
      <c r="R33" s="36">
        <f t="shared" si="24"/>
        <v>-403.95</v>
      </c>
      <c r="S33" s="35"/>
      <c r="T33" s="35">
        <f t="shared" si="25"/>
        <v>1505.5210125821236</v>
      </c>
      <c r="U33" s="35">
        <f t="shared" si="26"/>
        <v>-1505.5210125821236</v>
      </c>
    </row>
    <row r="34" spans="1:21" x14ac:dyDescent="0.2">
      <c r="A34" s="20">
        <f t="shared" si="5"/>
        <v>19</v>
      </c>
      <c r="B34" s="21">
        <f t="shared" si="9"/>
        <v>41848</v>
      </c>
      <c r="C34" s="22">
        <v>0</v>
      </c>
      <c r="D34" s="30">
        <f t="shared" si="16"/>
        <v>0.92403789818982107</v>
      </c>
      <c r="E34" s="23">
        <f t="shared" si="1"/>
        <v>0</v>
      </c>
      <c r="G34" s="31">
        <f t="shared" si="17"/>
        <v>-97351.460754927422</v>
      </c>
      <c r="H34" s="32">
        <f t="shared" si="18"/>
        <v>-405.63</v>
      </c>
      <c r="I34" s="33">
        <f t="shared" si="19"/>
        <v>-97757.090754927427</v>
      </c>
      <c r="J34" s="26"/>
      <c r="K34" s="34">
        <f t="shared" si="8"/>
        <v>90331.260754927411</v>
      </c>
      <c r="L34" s="35">
        <f t="shared" si="20"/>
        <v>-27099.378226478231</v>
      </c>
      <c r="M34" s="35">
        <f t="shared" si="15"/>
        <v>-1505.5210125821236</v>
      </c>
      <c r="N34" s="34">
        <f t="shared" si="21"/>
        <v>-28604.899239060356</v>
      </c>
      <c r="O34" s="34">
        <f t="shared" si="22"/>
        <v>61726.361515867058</v>
      </c>
      <c r="P34" s="26"/>
      <c r="Q34" s="36">
        <f t="shared" si="23"/>
        <v>405.63</v>
      </c>
      <c r="R34" s="36">
        <f t="shared" si="24"/>
        <v>-405.63</v>
      </c>
      <c r="S34" s="35"/>
      <c r="T34" s="35">
        <f t="shared" si="25"/>
        <v>1505.5210125821236</v>
      </c>
      <c r="U34" s="35">
        <f t="shared" si="26"/>
        <v>-1505.5210125821236</v>
      </c>
    </row>
    <row r="35" spans="1:21" x14ac:dyDescent="0.2">
      <c r="A35" s="20">
        <f t="shared" si="5"/>
        <v>20</v>
      </c>
      <c r="B35" s="21">
        <f t="shared" si="9"/>
        <v>41879</v>
      </c>
      <c r="C35" s="22">
        <v>0</v>
      </c>
      <c r="D35" s="30">
        <f t="shared" si="16"/>
        <v>0.92020371603965578</v>
      </c>
      <c r="E35" s="23">
        <f t="shared" si="1"/>
        <v>0</v>
      </c>
      <c r="G35" s="31">
        <f t="shared" si="17"/>
        <v>-97757.090754927427</v>
      </c>
      <c r="H35" s="32">
        <f t="shared" si="18"/>
        <v>-407.32</v>
      </c>
      <c r="I35" s="33">
        <f t="shared" si="19"/>
        <v>-98164.410754927434</v>
      </c>
      <c r="J35" s="26"/>
      <c r="K35" s="34">
        <f t="shared" si="8"/>
        <v>90331.260754927411</v>
      </c>
      <c r="L35" s="35">
        <f t="shared" si="20"/>
        <v>-28604.899239060356</v>
      </c>
      <c r="M35" s="35">
        <f t="shared" si="15"/>
        <v>-1505.5210125821236</v>
      </c>
      <c r="N35" s="34">
        <f t="shared" si="21"/>
        <v>-30110.420251642481</v>
      </c>
      <c r="O35" s="34">
        <f t="shared" si="22"/>
        <v>60220.840503284926</v>
      </c>
      <c r="P35" s="26"/>
      <c r="Q35" s="36">
        <f t="shared" si="23"/>
        <v>407.32</v>
      </c>
      <c r="R35" s="36">
        <f t="shared" si="24"/>
        <v>-407.32</v>
      </c>
      <c r="S35" s="35"/>
      <c r="T35" s="35">
        <f t="shared" si="25"/>
        <v>1505.5210125821236</v>
      </c>
      <c r="U35" s="35">
        <f t="shared" si="26"/>
        <v>-1505.5210125821236</v>
      </c>
    </row>
    <row r="36" spans="1:21" x14ac:dyDescent="0.2">
      <c r="A36" s="20">
        <f t="shared" si="5"/>
        <v>21</v>
      </c>
      <c r="B36" s="21">
        <f t="shared" si="9"/>
        <v>41910</v>
      </c>
      <c r="C36" s="22">
        <v>0</v>
      </c>
      <c r="D36" s="30">
        <f t="shared" si="16"/>
        <v>0.9163854433589933</v>
      </c>
      <c r="E36" s="23">
        <f t="shared" si="1"/>
        <v>0</v>
      </c>
      <c r="G36" s="31">
        <f t="shared" si="17"/>
        <v>-98164.410754927434</v>
      </c>
      <c r="H36" s="32">
        <f t="shared" si="18"/>
        <v>-409.02</v>
      </c>
      <c r="I36" s="33">
        <f t="shared" si="19"/>
        <v>-98573.430754927438</v>
      </c>
      <c r="J36" s="26"/>
      <c r="K36" s="34">
        <f t="shared" si="8"/>
        <v>90331.260754927411</v>
      </c>
      <c r="L36" s="35">
        <f t="shared" si="20"/>
        <v>-30110.420251642481</v>
      </c>
      <c r="M36" s="35">
        <f t="shared" si="15"/>
        <v>-1505.5210125821236</v>
      </c>
      <c r="N36" s="34">
        <f t="shared" si="21"/>
        <v>-31615.941264224606</v>
      </c>
      <c r="O36" s="34">
        <f t="shared" si="22"/>
        <v>58715.319490702808</v>
      </c>
      <c r="P36" s="26"/>
      <c r="Q36" s="36">
        <f t="shared" si="23"/>
        <v>409.02</v>
      </c>
      <c r="R36" s="36">
        <f t="shared" si="24"/>
        <v>-409.02</v>
      </c>
      <c r="S36" s="35"/>
      <c r="T36" s="35">
        <f t="shared" si="25"/>
        <v>1505.5210125821236</v>
      </c>
      <c r="U36" s="35">
        <f t="shared" si="26"/>
        <v>-1505.5210125821236</v>
      </c>
    </row>
    <row r="37" spans="1:21" x14ac:dyDescent="0.2">
      <c r="A37" s="20">
        <f t="shared" si="5"/>
        <v>22</v>
      </c>
      <c r="B37" s="21">
        <f t="shared" si="9"/>
        <v>41940</v>
      </c>
      <c r="C37" s="22">
        <v>0</v>
      </c>
      <c r="D37" s="30">
        <f t="shared" si="16"/>
        <v>0.91258301413343745</v>
      </c>
      <c r="E37" s="23">
        <f t="shared" si="1"/>
        <v>0</v>
      </c>
      <c r="G37" s="31">
        <f t="shared" si="17"/>
        <v>-98573.430754927438</v>
      </c>
      <c r="H37" s="32">
        <f t="shared" si="18"/>
        <v>-410.72</v>
      </c>
      <c r="I37" s="33">
        <f t="shared" si="19"/>
        <v>-98984.150754927439</v>
      </c>
      <c r="J37" s="26"/>
      <c r="K37" s="34">
        <f t="shared" si="8"/>
        <v>90331.260754927411</v>
      </c>
      <c r="L37" s="35">
        <f t="shared" si="20"/>
        <v>-31615.941264224606</v>
      </c>
      <c r="M37" s="35">
        <f t="shared" si="15"/>
        <v>-1505.5210125821236</v>
      </c>
      <c r="N37" s="34">
        <f t="shared" si="21"/>
        <v>-33121.462276806727</v>
      </c>
      <c r="O37" s="34">
        <f t="shared" si="22"/>
        <v>57209.798478120683</v>
      </c>
      <c r="P37" s="26"/>
      <c r="Q37" s="36">
        <f t="shared" si="23"/>
        <v>410.72</v>
      </c>
      <c r="R37" s="36">
        <f t="shared" si="24"/>
        <v>-410.72</v>
      </c>
      <c r="S37" s="35"/>
      <c r="T37" s="35">
        <f t="shared" si="25"/>
        <v>1505.5210125821236</v>
      </c>
      <c r="U37" s="35">
        <f t="shared" si="26"/>
        <v>-1505.5210125821236</v>
      </c>
    </row>
    <row r="38" spans="1:21" x14ac:dyDescent="0.2">
      <c r="A38" s="20">
        <f t="shared" si="5"/>
        <v>23</v>
      </c>
      <c r="B38" s="21">
        <f t="shared" si="9"/>
        <v>41971</v>
      </c>
      <c r="C38" s="22">
        <v>0</v>
      </c>
      <c r="D38" s="30">
        <f t="shared" si="16"/>
        <v>0.90879636262250996</v>
      </c>
      <c r="E38" s="23">
        <f t="shared" si="1"/>
        <v>0</v>
      </c>
      <c r="G38" s="31">
        <f t="shared" si="17"/>
        <v>-98984.150754927439</v>
      </c>
      <c r="H38" s="32">
        <f t="shared" si="18"/>
        <v>-412.43</v>
      </c>
      <c r="I38" s="33">
        <f t="shared" si="19"/>
        <v>-99396.580754927432</v>
      </c>
      <c r="J38" s="26"/>
      <c r="K38" s="34">
        <f t="shared" si="8"/>
        <v>90331.260754927411</v>
      </c>
      <c r="L38" s="35">
        <f t="shared" si="20"/>
        <v>-33121.462276806727</v>
      </c>
      <c r="M38" s="35">
        <f t="shared" si="15"/>
        <v>-1505.5210125821236</v>
      </c>
      <c r="N38" s="34">
        <f t="shared" si="21"/>
        <v>-34626.983289388852</v>
      </c>
      <c r="O38" s="34">
        <f t="shared" si="22"/>
        <v>55704.277465538558</v>
      </c>
      <c r="P38" s="26"/>
      <c r="Q38" s="36">
        <f t="shared" si="23"/>
        <v>412.43</v>
      </c>
      <c r="R38" s="36">
        <f t="shared" si="24"/>
        <v>-412.43</v>
      </c>
      <c r="S38" s="35"/>
      <c r="T38" s="35">
        <f t="shared" si="25"/>
        <v>1505.5210125821236</v>
      </c>
      <c r="U38" s="35">
        <f t="shared" si="26"/>
        <v>-1505.5210125821236</v>
      </c>
    </row>
    <row r="39" spans="1:21" x14ac:dyDescent="0.2">
      <c r="A39" s="20">
        <f t="shared" si="5"/>
        <v>24</v>
      </c>
      <c r="B39" s="21">
        <f t="shared" si="9"/>
        <v>42001</v>
      </c>
      <c r="C39" s="22">
        <v>0</v>
      </c>
      <c r="D39" s="30">
        <f t="shared" si="16"/>
        <v>0.90502542335851632</v>
      </c>
      <c r="E39" s="23">
        <f t="shared" si="1"/>
        <v>0</v>
      </c>
      <c r="G39" s="31">
        <f t="shared" si="17"/>
        <v>-99396.580754927432</v>
      </c>
      <c r="H39" s="32">
        <f t="shared" si="18"/>
        <v>-414.15</v>
      </c>
      <c r="I39" s="33">
        <f t="shared" si="19"/>
        <v>-99810.730754927426</v>
      </c>
      <c r="J39" s="26"/>
      <c r="K39" s="34">
        <f t="shared" si="8"/>
        <v>90331.260754927411</v>
      </c>
      <c r="L39" s="35">
        <f t="shared" si="20"/>
        <v>-34626.983289388852</v>
      </c>
      <c r="M39" s="35">
        <f t="shared" si="15"/>
        <v>-1505.5210125821236</v>
      </c>
      <c r="N39" s="34">
        <f t="shared" si="21"/>
        <v>-36132.504301970977</v>
      </c>
      <c r="O39" s="34">
        <f t="shared" si="22"/>
        <v>54198.756452956433</v>
      </c>
      <c r="P39" s="26"/>
      <c r="Q39" s="36">
        <f t="shared" si="23"/>
        <v>414.15</v>
      </c>
      <c r="R39" s="36">
        <f t="shared" si="24"/>
        <v>-414.15</v>
      </c>
      <c r="S39" s="35"/>
      <c r="T39" s="35">
        <f t="shared" si="25"/>
        <v>1505.5210125821236</v>
      </c>
      <c r="U39" s="35">
        <f t="shared" si="26"/>
        <v>-1505.5210125821236</v>
      </c>
    </row>
    <row r="40" spans="1:21" x14ac:dyDescent="0.2">
      <c r="A40" s="20">
        <f t="shared" si="5"/>
        <v>25</v>
      </c>
      <c r="B40" s="21">
        <f t="shared" si="9"/>
        <v>42032</v>
      </c>
      <c r="C40" s="22">
        <v>0</v>
      </c>
      <c r="D40" s="30">
        <f t="shared" si="16"/>
        <v>0.90127013114541055</v>
      </c>
      <c r="E40" s="23">
        <f t="shared" si="1"/>
        <v>0</v>
      </c>
      <c r="G40" s="31">
        <f t="shared" si="17"/>
        <v>-99810.730754927426</v>
      </c>
      <c r="H40" s="32">
        <f t="shared" si="18"/>
        <v>-415.88</v>
      </c>
      <c r="I40" s="33">
        <f t="shared" si="19"/>
        <v>-100226.61075492743</v>
      </c>
      <c r="J40" s="26"/>
      <c r="K40" s="34">
        <f t="shared" si="8"/>
        <v>90331.260754927411</v>
      </c>
      <c r="L40" s="35">
        <f t="shared" si="20"/>
        <v>-36132.504301970977</v>
      </c>
      <c r="M40" s="35">
        <f t="shared" si="15"/>
        <v>-1505.5210125821236</v>
      </c>
      <c r="N40" s="34">
        <f t="shared" si="21"/>
        <v>-37638.025314553102</v>
      </c>
      <c r="O40" s="34">
        <f t="shared" si="22"/>
        <v>52693.235440374308</v>
      </c>
      <c r="P40" s="26"/>
      <c r="Q40" s="36">
        <f t="shared" si="23"/>
        <v>415.88</v>
      </c>
      <c r="R40" s="36">
        <f t="shared" si="24"/>
        <v>-415.88</v>
      </c>
      <c r="S40" s="35"/>
      <c r="T40" s="35">
        <f t="shared" si="25"/>
        <v>1505.5210125821236</v>
      </c>
      <c r="U40" s="35">
        <f t="shared" si="26"/>
        <v>-1505.5210125821236</v>
      </c>
    </row>
    <row r="41" spans="1:21" x14ac:dyDescent="0.2">
      <c r="A41" s="20">
        <f t="shared" si="5"/>
        <v>26</v>
      </c>
      <c r="B41" s="21">
        <f t="shared" si="9"/>
        <v>42063</v>
      </c>
      <c r="C41" s="22">
        <v>0</v>
      </c>
      <c r="D41" s="30">
        <f t="shared" si="16"/>
        <v>0.89753042105767</v>
      </c>
      <c r="E41" s="23">
        <f t="shared" si="1"/>
        <v>0</v>
      </c>
      <c r="G41" s="31">
        <f t="shared" si="17"/>
        <v>-100226.61075492743</v>
      </c>
      <c r="H41" s="32">
        <f t="shared" si="18"/>
        <v>-417.61</v>
      </c>
      <c r="I41" s="33">
        <f t="shared" si="19"/>
        <v>-100644.22075492743</v>
      </c>
      <c r="J41" s="26"/>
      <c r="K41" s="34">
        <f t="shared" si="8"/>
        <v>90331.260754927411</v>
      </c>
      <c r="L41" s="35">
        <f t="shared" si="20"/>
        <v>-37638.025314553102</v>
      </c>
      <c r="M41" s="35">
        <f t="shared" si="15"/>
        <v>-1505.5210125821236</v>
      </c>
      <c r="N41" s="34">
        <f t="shared" si="21"/>
        <v>-39143.546327135227</v>
      </c>
      <c r="O41" s="34">
        <f t="shared" si="22"/>
        <v>51187.714427792183</v>
      </c>
      <c r="P41" s="26"/>
      <c r="Q41" s="36">
        <f t="shared" si="23"/>
        <v>417.61</v>
      </c>
      <c r="R41" s="36">
        <f t="shared" si="24"/>
        <v>-417.61</v>
      </c>
      <c r="S41" s="35"/>
      <c r="T41" s="35">
        <f t="shared" si="25"/>
        <v>1505.5210125821236</v>
      </c>
      <c r="U41" s="35">
        <f t="shared" si="26"/>
        <v>-1505.5210125821236</v>
      </c>
    </row>
    <row r="42" spans="1:21" x14ac:dyDescent="0.2">
      <c r="A42" s="20">
        <f t="shared" si="5"/>
        <v>27</v>
      </c>
      <c r="B42" s="21">
        <f t="shared" si="9"/>
        <v>42091</v>
      </c>
      <c r="C42" s="22">
        <v>0</v>
      </c>
      <c r="D42" s="30">
        <f t="shared" si="16"/>
        <v>0.89380622843917368</v>
      </c>
      <c r="E42" s="23">
        <f t="shared" si="1"/>
        <v>0</v>
      </c>
      <c r="G42" s="31">
        <f t="shared" si="17"/>
        <v>-100644.22075492743</v>
      </c>
      <c r="H42" s="32">
        <f t="shared" si="18"/>
        <v>-419.35</v>
      </c>
      <c r="I42" s="33">
        <f t="shared" si="19"/>
        <v>-101063.57075492744</v>
      </c>
      <c r="J42" s="26"/>
      <c r="K42" s="34">
        <f t="shared" si="8"/>
        <v>90331.260754927411</v>
      </c>
      <c r="L42" s="35">
        <f t="shared" si="20"/>
        <v>-39143.546327135227</v>
      </c>
      <c r="M42" s="35">
        <f t="shared" si="15"/>
        <v>-1505.5210125821236</v>
      </c>
      <c r="N42" s="34">
        <f t="shared" si="21"/>
        <v>-40649.067339717352</v>
      </c>
      <c r="O42" s="34">
        <f t="shared" si="22"/>
        <v>49682.193415210058</v>
      </c>
      <c r="P42" s="26"/>
      <c r="Q42" s="36">
        <f t="shared" si="23"/>
        <v>419.35</v>
      </c>
      <c r="R42" s="36">
        <f t="shared" si="24"/>
        <v>-419.35</v>
      </c>
      <c r="S42" s="35"/>
      <c r="T42" s="35">
        <f t="shared" si="25"/>
        <v>1505.5210125821236</v>
      </c>
      <c r="U42" s="35">
        <f t="shared" si="26"/>
        <v>-1505.5210125821236</v>
      </c>
    </row>
    <row r="43" spans="1:21" x14ac:dyDescent="0.2">
      <c r="A43" s="20">
        <f t="shared" si="5"/>
        <v>28</v>
      </c>
      <c r="B43" s="21">
        <f t="shared" si="9"/>
        <v>42122</v>
      </c>
      <c r="C43" s="22">
        <v>0</v>
      </c>
      <c r="D43" s="30">
        <f t="shared" si="16"/>
        <v>0.89009748890208162</v>
      </c>
      <c r="E43" s="23">
        <f t="shared" si="1"/>
        <v>0</v>
      </c>
      <c r="G43" s="31">
        <f t="shared" si="17"/>
        <v>-101063.57075492744</v>
      </c>
      <c r="H43" s="32">
        <f t="shared" si="18"/>
        <v>-421.1</v>
      </c>
      <c r="I43" s="33">
        <f t="shared" si="19"/>
        <v>-101484.67075492744</v>
      </c>
      <c r="J43" s="26"/>
      <c r="K43" s="34">
        <f t="shared" si="8"/>
        <v>90331.260754927411</v>
      </c>
      <c r="L43" s="35">
        <f t="shared" si="20"/>
        <v>-40649.067339717352</v>
      </c>
      <c r="M43" s="35">
        <f t="shared" si="15"/>
        <v>-1505.5210125821236</v>
      </c>
      <c r="N43" s="34">
        <f t="shared" si="21"/>
        <v>-42154.588352299477</v>
      </c>
      <c r="O43" s="34">
        <f t="shared" si="22"/>
        <v>48176.672402627933</v>
      </c>
      <c r="P43" s="26"/>
      <c r="Q43" s="36">
        <f t="shared" si="23"/>
        <v>421.1</v>
      </c>
      <c r="R43" s="36">
        <f t="shared" si="24"/>
        <v>-421.1</v>
      </c>
      <c r="S43" s="35"/>
      <c r="T43" s="35">
        <f t="shared" si="25"/>
        <v>1505.5210125821236</v>
      </c>
      <c r="U43" s="35">
        <f t="shared" si="26"/>
        <v>-1505.5210125821236</v>
      </c>
    </row>
    <row r="44" spans="1:21" x14ac:dyDescent="0.2">
      <c r="A44" s="20">
        <f t="shared" si="5"/>
        <v>29</v>
      </c>
      <c r="B44" s="21">
        <f t="shared" si="9"/>
        <v>42152</v>
      </c>
      <c r="C44" s="22">
        <v>0</v>
      </c>
      <c r="D44" s="30">
        <f t="shared" si="16"/>
        <v>0.88640413832572451</v>
      </c>
      <c r="E44" s="23">
        <f t="shared" si="1"/>
        <v>0</v>
      </c>
      <c r="G44" s="31">
        <f t="shared" si="17"/>
        <v>-101484.67075492744</v>
      </c>
      <c r="H44" s="32">
        <f t="shared" si="18"/>
        <v>-422.85</v>
      </c>
      <c r="I44" s="33">
        <f t="shared" si="19"/>
        <v>-101907.52075492745</v>
      </c>
      <c r="J44" s="26"/>
      <c r="K44" s="34">
        <f t="shared" si="8"/>
        <v>90331.260754927411</v>
      </c>
      <c r="L44" s="35">
        <f t="shared" si="20"/>
        <v>-42154.588352299477</v>
      </c>
      <c r="M44" s="35">
        <f t="shared" si="15"/>
        <v>-1505.5210125821236</v>
      </c>
      <c r="N44" s="34">
        <f t="shared" si="21"/>
        <v>-43660.109364881602</v>
      </c>
      <c r="O44" s="34">
        <f t="shared" si="22"/>
        <v>46671.151390045809</v>
      </c>
      <c r="P44" s="26"/>
      <c r="Q44" s="36">
        <f t="shared" si="23"/>
        <v>422.85</v>
      </c>
      <c r="R44" s="36">
        <f t="shared" si="24"/>
        <v>-422.85</v>
      </c>
      <c r="S44" s="35"/>
      <c r="T44" s="35">
        <f t="shared" si="25"/>
        <v>1505.5210125821236</v>
      </c>
      <c r="U44" s="35">
        <f t="shared" si="26"/>
        <v>-1505.5210125821236</v>
      </c>
    </row>
    <row r="45" spans="1:21" x14ac:dyDescent="0.2">
      <c r="A45" s="20">
        <f t="shared" si="5"/>
        <v>30</v>
      </c>
      <c r="B45" s="21">
        <f t="shared" si="9"/>
        <v>42183</v>
      </c>
      <c r="C45" s="22">
        <v>0</v>
      </c>
      <c r="D45" s="30">
        <f t="shared" si="16"/>
        <v>0.88272611285549329</v>
      </c>
      <c r="E45" s="23">
        <f t="shared" si="1"/>
        <v>0</v>
      </c>
      <c r="G45" s="31">
        <f t="shared" si="17"/>
        <v>-101907.52075492745</v>
      </c>
      <c r="H45" s="32">
        <f t="shared" si="18"/>
        <v>-424.61</v>
      </c>
      <c r="I45" s="33">
        <f t="shared" si="19"/>
        <v>-102332.13075492745</v>
      </c>
      <c r="J45" s="26"/>
      <c r="K45" s="34">
        <f t="shared" si="8"/>
        <v>90331.260754927411</v>
      </c>
      <c r="L45" s="35">
        <f t="shared" si="20"/>
        <v>-43660.109364881602</v>
      </c>
      <c r="M45" s="35">
        <f t="shared" si="15"/>
        <v>-1505.5210125821236</v>
      </c>
      <c r="N45" s="34">
        <f t="shared" si="21"/>
        <v>-45165.630377463727</v>
      </c>
      <c r="O45" s="34">
        <f t="shared" si="22"/>
        <v>45165.630377463684</v>
      </c>
      <c r="P45" s="26"/>
      <c r="Q45" s="36">
        <f t="shared" si="23"/>
        <v>424.61</v>
      </c>
      <c r="R45" s="36">
        <f t="shared" si="24"/>
        <v>-424.61</v>
      </c>
      <c r="S45" s="35"/>
      <c r="T45" s="35">
        <f t="shared" si="25"/>
        <v>1505.5210125821236</v>
      </c>
      <c r="U45" s="35">
        <f t="shared" si="26"/>
        <v>-1505.5210125821236</v>
      </c>
    </row>
    <row r="46" spans="1:21" x14ac:dyDescent="0.2">
      <c r="A46" s="20">
        <f t="shared" si="5"/>
        <v>31</v>
      </c>
      <c r="B46" s="21">
        <f t="shared" si="9"/>
        <v>42213</v>
      </c>
      <c r="C46" s="22">
        <v>0</v>
      </c>
      <c r="D46" s="30">
        <f t="shared" si="16"/>
        <v>0.87906334890173565</v>
      </c>
      <c r="E46" s="23">
        <f t="shared" si="1"/>
        <v>0</v>
      </c>
      <c r="G46" s="31">
        <f t="shared" si="17"/>
        <v>-102332.13075492745</v>
      </c>
      <c r="H46" s="32">
        <f t="shared" si="18"/>
        <v>-426.38</v>
      </c>
      <c r="I46" s="33">
        <f t="shared" si="19"/>
        <v>-102758.51075492745</v>
      </c>
      <c r="J46" s="26"/>
      <c r="K46" s="34">
        <f t="shared" si="8"/>
        <v>90331.260754927411</v>
      </c>
      <c r="L46" s="35">
        <f t="shared" si="20"/>
        <v>-45165.630377463727</v>
      </c>
      <c r="M46" s="35">
        <f t="shared" si="15"/>
        <v>-1505.5210125821236</v>
      </c>
      <c r="N46" s="34">
        <f t="shared" si="21"/>
        <v>-46671.151390045852</v>
      </c>
      <c r="O46" s="34">
        <f t="shared" si="22"/>
        <v>43660.109364881559</v>
      </c>
      <c r="P46" s="26"/>
      <c r="Q46" s="36">
        <f t="shared" si="23"/>
        <v>426.38</v>
      </c>
      <c r="R46" s="36">
        <f t="shared" si="24"/>
        <v>-426.38</v>
      </c>
      <c r="S46" s="35"/>
      <c r="T46" s="35">
        <f t="shared" si="25"/>
        <v>1505.5210125821236</v>
      </c>
      <c r="U46" s="35">
        <f t="shared" si="26"/>
        <v>-1505.5210125821236</v>
      </c>
    </row>
    <row r="47" spans="1:21" x14ac:dyDescent="0.2">
      <c r="A47" s="20">
        <f t="shared" si="5"/>
        <v>32</v>
      </c>
      <c r="B47" s="21">
        <f t="shared" si="9"/>
        <v>42244</v>
      </c>
      <c r="C47" s="22">
        <v>0</v>
      </c>
      <c r="D47" s="30">
        <f t="shared" si="16"/>
        <v>0.87541578313865809</v>
      </c>
      <c r="E47" s="23">
        <f t="shared" si="1"/>
        <v>0</v>
      </c>
      <c r="G47" s="31">
        <f t="shared" si="17"/>
        <v>-102758.51075492745</v>
      </c>
      <c r="H47" s="32">
        <f t="shared" si="18"/>
        <v>-428.16</v>
      </c>
      <c r="I47" s="33">
        <f t="shared" si="19"/>
        <v>-103186.67075492746</v>
      </c>
      <c r="J47" s="26"/>
      <c r="K47" s="34">
        <f t="shared" si="8"/>
        <v>90331.260754927411</v>
      </c>
      <c r="L47" s="35">
        <f t="shared" si="20"/>
        <v>-46671.151390045852</v>
      </c>
      <c r="M47" s="35">
        <f t="shared" si="15"/>
        <v>-1505.5210125821236</v>
      </c>
      <c r="N47" s="34">
        <f t="shared" si="21"/>
        <v>-48176.672402627977</v>
      </c>
      <c r="O47" s="34">
        <f t="shared" si="22"/>
        <v>42154.588352299434</v>
      </c>
      <c r="P47" s="26"/>
      <c r="Q47" s="36">
        <f t="shared" si="23"/>
        <v>428.16</v>
      </c>
      <c r="R47" s="36">
        <f t="shared" si="24"/>
        <v>-428.16</v>
      </c>
      <c r="S47" s="35"/>
      <c r="T47" s="35">
        <f t="shared" si="25"/>
        <v>1505.5210125821236</v>
      </c>
      <c r="U47" s="35">
        <f t="shared" si="26"/>
        <v>-1505.5210125821236</v>
      </c>
    </row>
    <row r="48" spans="1:21" x14ac:dyDescent="0.2">
      <c r="A48" s="20">
        <f t="shared" si="5"/>
        <v>33</v>
      </c>
      <c r="B48" s="21">
        <f t="shared" si="9"/>
        <v>42275</v>
      </c>
      <c r="C48" s="22">
        <v>0</v>
      </c>
      <c r="D48" s="30">
        <f t="shared" si="16"/>
        <v>0.87178335250322792</v>
      </c>
      <c r="E48" s="23">
        <f t="shared" si="1"/>
        <v>0</v>
      </c>
      <c r="G48" s="31">
        <f t="shared" si="17"/>
        <v>-103186.67075492746</v>
      </c>
      <c r="H48" s="32">
        <f t="shared" si="18"/>
        <v>-429.94</v>
      </c>
      <c r="I48" s="33">
        <f t="shared" si="19"/>
        <v>-103616.61075492746</v>
      </c>
      <c r="J48" s="26"/>
      <c r="K48" s="34">
        <f t="shared" si="8"/>
        <v>90331.260754927411</v>
      </c>
      <c r="L48" s="35">
        <f t="shared" si="20"/>
        <v>-48176.672402627977</v>
      </c>
      <c r="M48" s="35">
        <f t="shared" si="15"/>
        <v>-1505.5210125821236</v>
      </c>
      <c r="N48" s="34">
        <f t="shared" si="21"/>
        <v>-49682.193415210102</v>
      </c>
      <c r="O48" s="34">
        <f t="shared" si="22"/>
        <v>40649.067339717309</v>
      </c>
      <c r="P48" s="26"/>
      <c r="Q48" s="36">
        <f t="shared" si="23"/>
        <v>429.94</v>
      </c>
      <c r="R48" s="36">
        <f t="shared" si="24"/>
        <v>-429.94</v>
      </c>
      <c r="S48" s="35"/>
      <c r="T48" s="35">
        <f t="shared" si="25"/>
        <v>1505.5210125821236</v>
      </c>
      <c r="U48" s="35">
        <f t="shared" si="26"/>
        <v>-1505.5210125821236</v>
      </c>
    </row>
    <row r="49" spans="1:21" x14ac:dyDescent="0.2">
      <c r="A49" s="20">
        <f t="shared" si="5"/>
        <v>34</v>
      </c>
      <c r="B49" s="21">
        <f t="shared" si="9"/>
        <v>42305</v>
      </c>
      <c r="C49" s="22">
        <v>0</v>
      </c>
      <c r="D49" s="30">
        <f t="shared" si="16"/>
        <v>0.86816599419408602</v>
      </c>
      <c r="E49" s="23">
        <f t="shared" si="1"/>
        <v>0</v>
      </c>
      <c r="G49" s="31">
        <f t="shared" si="17"/>
        <v>-103616.61075492746</v>
      </c>
      <c r="H49" s="32">
        <f t="shared" si="18"/>
        <v>-431.74</v>
      </c>
      <c r="I49" s="33">
        <f t="shared" si="19"/>
        <v>-104048.35075492747</v>
      </c>
      <c r="J49" s="26"/>
      <c r="K49" s="34">
        <f t="shared" si="8"/>
        <v>90331.260754927411</v>
      </c>
      <c r="L49" s="35">
        <f t="shared" si="20"/>
        <v>-49682.193415210102</v>
      </c>
      <c r="M49" s="35">
        <f t="shared" si="15"/>
        <v>-1505.5210125821236</v>
      </c>
      <c r="N49" s="34">
        <f t="shared" si="21"/>
        <v>-51187.714427792227</v>
      </c>
      <c r="O49" s="34">
        <f t="shared" si="22"/>
        <v>39143.546327135184</v>
      </c>
      <c r="P49" s="26"/>
      <c r="Q49" s="36">
        <f t="shared" si="23"/>
        <v>431.74</v>
      </c>
      <c r="R49" s="36">
        <f t="shared" si="24"/>
        <v>-431.74</v>
      </c>
      <c r="S49" s="35"/>
      <c r="T49" s="35">
        <f t="shared" si="25"/>
        <v>1505.5210125821236</v>
      </c>
      <c r="U49" s="35">
        <f t="shared" si="26"/>
        <v>-1505.5210125821236</v>
      </c>
    </row>
    <row r="50" spans="1:21" x14ac:dyDescent="0.2">
      <c r="A50" s="20">
        <f t="shared" si="5"/>
        <v>35</v>
      </c>
      <c r="B50" s="21">
        <f t="shared" si="9"/>
        <v>42336</v>
      </c>
      <c r="C50" s="22">
        <v>0</v>
      </c>
      <c r="D50" s="30">
        <f t="shared" si="16"/>
        <v>0.86456364567045896</v>
      </c>
      <c r="E50" s="23">
        <f t="shared" si="1"/>
        <v>0</v>
      </c>
      <c r="G50" s="31">
        <f t="shared" si="17"/>
        <v>-104048.35075492747</v>
      </c>
      <c r="H50" s="32">
        <f t="shared" si="18"/>
        <v>-433.53</v>
      </c>
      <c r="I50" s="33">
        <f t="shared" si="19"/>
        <v>-104481.88075492746</v>
      </c>
      <c r="J50" s="26"/>
      <c r="K50" s="34">
        <f t="shared" si="8"/>
        <v>90331.260754927411</v>
      </c>
      <c r="L50" s="35">
        <f t="shared" si="20"/>
        <v>-51187.714427792227</v>
      </c>
      <c r="M50" s="35">
        <f t="shared" si="15"/>
        <v>-1505.5210125821236</v>
      </c>
      <c r="N50" s="34">
        <f t="shared" si="21"/>
        <v>-52693.235440374352</v>
      </c>
      <c r="O50" s="34">
        <f t="shared" si="22"/>
        <v>37638.025314553059</v>
      </c>
      <c r="P50" s="26"/>
      <c r="Q50" s="36">
        <f t="shared" si="23"/>
        <v>433.53</v>
      </c>
      <c r="R50" s="36">
        <f t="shared" si="24"/>
        <v>-433.53</v>
      </c>
      <c r="S50" s="35"/>
      <c r="T50" s="35">
        <f t="shared" si="25"/>
        <v>1505.5210125821236</v>
      </c>
      <c r="U50" s="35">
        <f t="shared" si="26"/>
        <v>-1505.5210125821236</v>
      </c>
    </row>
    <row r="51" spans="1:21" x14ac:dyDescent="0.2">
      <c r="A51" s="20">
        <f t="shared" si="5"/>
        <v>36</v>
      </c>
      <c r="B51" s="21">
        <f t="shared" si="9"/>
        <v>42366</v>
      </c>
      <c r="C51" s="22">
        <v>0</v>
      </c>
      <c r="D51" s="30">
        <f t="shared" si="16"/>
        <v>0.86097624465107958</v>
      </c>
      <c r="E51" s="23">
        <f t="shared" si="1"/>
        <v>0</v>
      </c>
      <c r="G51" s="31">
        <f t="shared" si="17"/>
        <v>-104481.88075492746</v>
      </c>
      <c r="H51" s="32">
        <f t="shared" si="18"/>
        <v>-435.34</v>
      </c>
      <c r="I51" s="33">
        <f t="shared" si="19"/>
        <v>-104917.22075492746</v>
      </c>
      <c r="J51" s="26"/>
      <c r="K51" s="34">
        <f t="shared" si="8"/>
        <v>90331.260754927411</v>
      </c>
      <c r="L51" s="35">
        <f t="shared" si="20"/>
        <v>-52693.235440374352</v>
      </c>
      <c r="M51" s="35">
        <f t="shared" si="15"/>
        <v>-1505.5210125821236</v>
      </c>
      <c r="N51" s="34">
        <f t="shared" si="21"/>
        <v>-54198.756452956477</v>
      </c>
      <c r="O51" s="34">
        <f t="shared" si="22"/>
        <v>36132.504301970934</v>
      </c>
      <c r="P51" s="26"/>
      <c r="Q51" s="36">
        <f t="shared" si="23"/>
        <v>435.34</v>
      </c>
      <c r="R51" s="36">
        <f t="shared" si="24"/>
        <v>-435.34</v>
      </c>
      <c r="S51" s="35"/>
      <c r="T51" s="35">
        <f t="shared" si="25"/>
        <v>1505.5210125821236</v>
      </c>
      <c r="U51" s="35">
        <f t="shared" si="26"/>
        <v>-1505.5210125821236</v>
      </c>
    </row>
    <row r="52" spans="1:21" x14ac:dyDescent="0.2">
      <c r="A52" s="20">
        <f t="shared" si="5"/>
        <v>37</v>
      </c>
      <c r="B52" s="21">
        <f t="shared" si="9"/>
        <v>42397</v>
      </c>
      <c r="C52" s="22">
        <v>0</v>
      </c>
      <c r="D52" s="30">
        <f t="shared" si="16"/>
        <v>0.85740372911310836</v>
      </c>
      <c r="E52" s="23">
        <f t="shared" si="1"/>
        <v>0</v>
      </c>
      <c r="G52" s="31">
        <f t="shared" si="17"/>
        <v>-104917.22075492746</v>
      </c>
      <c r="H52" s="32">
        <f t="shared" si="18"/>
        <v>-437.16</v>
      </c>
      <c r="I52" s="33">
        <f t="shared" si="19"/>
        <v>-105354.38075492746</v>
      </c>
      <c r="J52" s="26"/>
      <c r="K52" s="34">
        <f t="shared" si="8"/>
        <v>90331.260754927411</v>
      </c>
      <c r="L52" s="35">
        <f t="shared" si="20"/>
        <v>-54198.756452956477</v>
      </c>
      <c r="M52" s="35">
        <f t="shared" si="15"/>
        <v>-1505.5210125821236</v>
      </c>
      <c r="N52" s="34">
        <f t="shared" si="21"/>
        <v>-55704.277465538602</v>
      </c>
      <c r="O52" s="34">
        <f t="shared" si="22"/>
        <v>34626.983289388809</v>
      </c>
      <c r="P52" s="26"/>
      <c r="Q52" s="36">
        <f t="shared" si="23"/>
        <v>437.16</v>
      </c>
      <c r="R52" s="36">
        <f t="shared" si="24"/>
        <v>-437.16</v>
      </c>
      <c r="S52" s="35"/>
      <c r="T52" s="35">
        <f t="shared" si="25"/>
        <v>1505.5210125821236</v>
      </c>
      <c r="U52" s="35">
        <f t="shared" si="26"/>
        <v>-1505.5210125821236</v>
      </c>
    </row>
    <row r="53" spans="1:21" x14ac:dyDescent="0.2">
      <c r="A53" s="20">
        <f t="shared" si="5"/>
        <v>38</v>
      </c>
      <c r="B53" s="21">
        <f t="shared" si="9"/>
        <v>42428</v>
      </c>
      <c r="C53" s="22">
        <v>0</v>
      </c>
      <c r="D53" s="30">
        <f t="shared" si="16"/>
        <v>0.85384603729106212</v>
      </c>
      <c r="E53" s="23">
        <f t="shared" si="1"/>
        <v>0</v>
      </c>
      <c r="G53" s="31">
        <f t="shared" si="17"/>
        <v>-105354.38075492746</v>
      </c>
      <c r="H53" s="32">
        <f t="shared" si="18"/>
        <v>-438.98</v>
      </c>
      <c r="I53" s="33">
        <f t="shared" si="19"/>
        <v>-105793.36075492746</v>
      </c>
      <c r="J53" s="26"/>
      <c r="K53" s="34">
        <f t="shared" si="8"/>
        <v>90331.260754927411</v>
      </c>
      <c r="L53" s="35">
        <f t="shared" si="20"/>
        <v>-55704.277465538602</v>
      </c>
      <c r="M53" s="35">
        <f t="shared" si="15"/>
        <v>-1505.5210125821236</v>
      </c>
      <c r="N53" s="34">
        <f t="shared" si="21"/>
        <v>-57209.798478120727</v>
      </c>
      <c r="O53" s="34">
        <f t="shared" si="22"/>
        <v>33121.462276806684</v>
      </c>
      <c r="P53" s="26"/>
      <c r="Q53" s="36">
        <f t="shared" si="23"/>
        <v>438.98</v>
      </c>
      <c r="R53" s="36">
        <f t="shared" si="24"/>
        <v>-438.98</v>
      </c>
      <c r="S53" s="35"/>
      <c r="T53" s="35">
        <f t="shared" si="25"/>
        <v>1505.5210125821236</v>
      </c>
      <c r="U53" s="35">
        <f t="shared" si="26"/>
        <v>-1505.5210125821236</v>
      </c>
    </row>
    <row r="54" spans="1:21" x14ac:dyDescent="0.2">
      <c r="A54" s="20">
        <f t="shared" si="5"/>
        <v>39</v>
      </c>
      <c r="B54" s="21">
        <f t="shared" si="9"/>
        <v>42457</v>
      </c>
      <c r="C54" s="22">
        <v>0</v>
      </c>
      <c r="D54" s="30">
        <f t="shared" si="16"/>
        <v>0.85030310767574646</v>
      </c>
      <c r="E54" s="23">
        <f t="shared" si="1"/>
        <v>0</v>
      </c>
      <c r="G54" s="31">
        <f t="shared" si="17"/>
        <v>-105793.36075492746</v>
      </c>
      <c r="H54" s="32">
        <f t="shared" si="18"/>
        <v>-440.81</v>
      </c>
      <c r="I54" s="33">
        <f t="shared" si="19"/>
        <v>-106234.17075492746</v>
      </c>
      <c r="J54" s="26"/>
      <c r="K54" s="34">
        <f t="shared" si="8"/>
        <v>90331.260754927411</v>
      </c>
      <c r="L54" s="35">
        <f t="shared" si="20"/>
        <v>-57209.798478120727</v>
      </c>
      <c r="M54" s="35">
        <f t="shared" si="15"/>
        <v>-1505.5210125821236</v>
      </c>
      <c r="N54" s="34">
        <f t="shared" si="21"/>
        <v>-58715.319490702852</v>
      </c>
      <c r="O54" s="34">
        <f t="shared" si="22"/>
        <v>31615.941264224559</v>
      </c>
      <c r="P54" s="26"/>
      <c r="Q54" s="36">
        <f t="shared" si="23"/>
        <v>440.81</v>
      </c>
      <c r="R54" s="36">
        <f t="shared" si="24"/>
        <v>-440.81</v>
      </c>
      <c r="S54" s="35"/>
      <c r="T54" s="35">
        <f t="shared" si="25"/>
        <v>1505.5210125821236</v>
      </c>
      <c r="U54" s="35">
        <f t="shared" si="26"/>
        <v>-1505.5210125821236</v>
      </c>
    </row>
    <row r="55" spans="1:21" x14ac:dyDescent="0.2">
      <c r="A55" s="20">
        <f t="shared" si="5"/>
        <v>40</v>
      </c>
      <c r="B55" s="21">
        <f t="shared" si="9"/>
        <v>42488</v>
      </c>
      <c r="C55" s="22">
        <v>0</v>
      </c>
      <c r="D55" s="30">
        <f t="shared" si="16"/>
        <v>0.84677487901319159</v>
      </c>
      <c r="E55" s="23">
        <f t="shared" si="1"/>
        <v>0</v>
      </c>
      <c r="G55" s="31">
        <f t="shared" si="17"/>
        <v>-106234.17075492746</v>
      </c>
      <c r="H55" s="32">
        <f t="shared" si="18"/>
        <v>-442.64</v>
      </c>
      <c r="I55" s="33">
        <f t="shared" si="19"/>
        <v>-106676.81075492746</v>
      </c>
      <c r="J55" s="26"/>
      <c r="K55" s="34">
        <f t="shared" si="8"/>
        <v>90331.260754927411</v>
      </c>
      <c r="L55" s="35">
        <f t="shared" si="20"/>
        <v>-58715.319490702852</v>
      </c>
      <c r="M55" s="35">
        <f t="shared" si="15"/>
        <v>-1505.5210125821236</v>
      </c>
      <c r="N55" s="34">
        <f t="shared" si="21"/>
        <v>-60220.840503284977</v>
      </c>
      <c r="O55" s="34">
        <f t="shared" si="22"/>
        <v>30110.420251642434</v>
      </c>
      <c r="P55" s="26"/>
      <c r="Q55" s="36">
        <f t="shared" si="23"/>
        <v>442.64</v>
      </c>
      <c r="R55" s="36">
        <f t="shared" si="24"/>
        <v>-442.64</v>
      </c>
      <c r="S55" s="35"/>
      <c r="T55" s="35">
        <f t="shared" si="25"/>
        <v>1505.5210125821236</v>
      </c>
      <c r="U55" s="35">
        <f t="shared" si="26"/>
        <v>-1505.5210125821236</v>
      </c>
    </row>
    <row r="56" spans="1:21" x14ac:dyDescent="0.2">
      <c r="A56" s="20">
        <f t="shared" si="5"/>
        <v>41</v>
      </c>
      <c r="B56" s="21">
        <f t="shared" si="9"/>
        <v>42518</v>
      </c>
      <c r="C56" s="22">
        <v>0</v>
      </c>
      <c r="D56" s="30">
        <f t="shared" si="16"/>
        <v>0.84326129030359331</v>
      </c>
      <c r="E56" s="23">
        <f t="shared" si="1"/>
        <v>0</v>
      </c>
      <c r="G56" s="31">
        <f t="shared" si="17"/>
        <v>-106676.81075492746</v>
      </c>
      <c r="H56" s="32">
        <f t="shared" si="18"/>
        <v>-444.49</v>
      </c>
      <c r="I56" s="33">
        <f t="shared" si="19"/>
        <v>-107121.30075492746</v>
      </c>
      <c r="J56" s="26"/>
      <c r="K56" s="34">
        <f t="shared" si="8"/>
        <v>90331.260754927411</v>
      </c>
      <c r="L56" s="35">
        <f t="shared" si="20"/>
        <v>-60220.840503284977</v>
      </c>
      <c r="M56" s="35">
        <f t="shared" si="15"/>
        <v>-1505.5210125821236</v>
      </c>
      <c r="N56" s="34">
        <f t="shared" si="21"/>
        <v>-61726.361515867102</v>
      </c>
      <c r="O56" s="34">
        <f t="shared" si="22"/>
        <v>28604.899239060309</v>
      </c>
      <c r="P56" s="26"/>
      <c r="Q56" s="36">
        <f t="shared" si="23"/>
        <v>444.49</v>
      </c>
      <c r="R56" s="36">
        <f t="shared" si="24"/>
        <v>-444.49</v>
      </c>
      <c r="S56" s="35"/>
      <c r="T56" s="35">
        <f t="shared" si="25"/>
        <v>1505.5210125821236</v>
      </c>
      <c r="U56" s="35">
        <f t="shared" si="26"/>
        <v>-1505.5210125821236</v>
      </c>
    </row>
    <row r="57" spans="1:21" x14ac:dyDescent="0.2">
      <c r="A57" s="20">
        <f t="shared" si="5"/>
        <v>42</v>
      </c>
      <c r="B57" s="21">
        <f t="shared" si="9"/>
        <v>42549</v>
      </c>
      <c r="C57" s="22">
        <v>0</v>
      </c>
      <c r="D57" s="30">
        <f t="shared" si="16"/>
        <v>0.83976228080025861</v>
      </c>
      <c r="E57" s="23">
        <f t="shared" si="1"/>
        <v>0</v>
      </c>
      <c r="G57" s="31">
        <f t="shared" si="17"/>
        <v>-107121.30075492746</v>
      </c>
      <c r="H57" s="32">
        <f t="shared" si="18"/>
        <v>-446.34</v>
      </c>
      <c r="I57" s="33">
        <f t="shared" si="19"/>
        <v>-107567.64075492746</v>
      </c>
      <c r="J57" s="26"/>
      <c r="K57" s="34">
        <f t="shared" si="8"/>
        <v>90331.260754927411</v>
      </c>
      <c r="L57" s="35">
        <f t="shared" si="20"/>
        <v>-61726.361515867102</v>
      </c>
      <c r="M57" s="35">
        <f t="shared" si="15"/>
        <v>-1505.5210125821236</v>
      </c>
      <c r="N57" s="34">
        <f t="shared" si="21"/>
        <v>-63231.882528449227</v>
      </c>
      <c r="O57" s="34">
        <f t="shared" si="22"/>
        <v>27099.378226478184</v>
      </c>
      <c r="P57" s="26"/>
      <c r="Q57" s="36">
        <f t="shared" si="23"/>
        <v>446.34</v>
      </c>
      <c r="R57" s="36">
        <f t="shared" si="24"/>
        <v>-446.34</v>
      </c>
      <c r="S57" s="35"/>
      <c r="T57" s="35">
        <f t="shared" si="25"/>
        <v>1505.5210125821236</v>
      </c>
      <c r="U57" s="35">
        <f t="shared" si="26"/>
        <v>-1505.5210125821236</v>
      </c>
    </row>
    <row r="58" spans="1:21" x14ac:dyDescent="0.2">
      <c r="A58" s="20">
        <f t="shared" si="5"/>
        <v>43</v>
      </c>
      <c r="B58" s="21">
        <f t="shared" si="9"/>
        <v>42579</v>
      </c>
      <c r="C58" s="22">
        <v>0</v>
      </c>
      <c r="D58" s="30">
        <f t="shared" si="16"/>
        <v>0.83627779000855651</v>
      </c>
      <c r="E58" s="23">
        <f t="shared" si="1"/>
        <v>0</v>
      </c>
      <c r="G58" s="31">
        <f t="shared" si="17"/>
        <v>-107567.64075492746</v>
      </c>
      <c r="H58" s="32">
        <f t="shared" si="18"/>
        <v>-448.2</v>
      </c>
      <c r="I58" s="33">
        <f t="shared" si="19"/>
        <v>-108015.84075492746</v>
      </c>
      <c r="J58" s="26"/>
      <c r="K58" s="34">
        <f t="shared" si="8"/>
        <v>90331.260754927411</v>
      </c>
      <c r="L58" s="35">
        <f t="shared" si="20"/>
        <v>-63231.882528449227</v>
      </c>
      <c r="M58" s="35">
        <f t="shared" si="15"/>
        <v>-1505.5210125821236</v>
      </c>
      <c r="N58" s="34">
        <f t="shared" si="21"/>
        <v>-64737.403541031352</v>
      </c>
      <c r="O58" s="34">
        <f t="shared" si="22"/>
        <v>25593.857213896059</v>
      </c>
      <c r="P58" s="26"/>
      <c r="Q58" s="36">
        <f t="shared" si="23"/>
        <v>448.2</v>
      </c>
      <c r="R58" s="36">
        <f t="shared" si="24"/>
        <v>-448.2</v>
      </c>
      <c r="S58" s="35"/>
      <c r="T58" s="35">
        <f t="shared" si="25"/>
        <v>1505.5210125821236</v>
      </c>
      <c r="U58" s="35">
        <f t="shared" si="26"/>
        <v>-1505.5210125821236</v>
      </c>
    </row>
    <row r="59" spans="1:21" x14ac:dyDescent="0.2">
      <c r="A59" s="20">
        <f t="shared" si="5"/>
        <v>44</v>
      </c>
      <c r="B59" s="21">
        <f t="shared" si="9"/>
        <v>42610</v>
      </c>
      <c r="C59" s="22">
        <v>0</v>
      </c>
      <c r="D59" s="30">
        <f t="shared" si="16"/>
        <v>0.83280775768486948</v>
      </c>
      <c r="E59" s="23">
        <f t="shared" si="1"/>
        <v>0</v>
      </c>
      <c r="G59" s="31">
        <f t="shared" si="17"/>
        <v>-108015.84075492746</v>
      </c>
      <c r="H59" s="32">
        <f t="shared" si="18"/>
        <v>-450.07</v>
      </c>
      <c r="I59" s="33">
        <f t="shared" si="19"/>
        <v>-108465.91075492746</v>
      </c>
      <c r="J59" s="26"/>
      <c r="K59" s="34">
        <f t="shared" si="8"/>
        <v>90331.260754927411</v>
      </c>
      <c r="L59" s="35">
        <f t="shared" si="20"/>
        <v>-64737.403541031352</v>
      </c>
      <c r="M59" s="35">
        <f t="shared" si="15"/>
        <v>-1505.5210125821236</v>
      </c>
      <c r="N59" s="34">
        <f t="shared" si="21"/>
        <v>-66242.924553613469</v>
      </c>
      <c r="O59" s="34">
        <f t="shared" si="22"/>
        <v>24088.336201313941</v>
      </c>
      <c r="P59" s="26"/>
      <c r="Q59" s="36">
        <f t="shared" si="23"/>
        <v>450.07</v>
      </c>
      <c r="R59" s="36">
        <f t="shared" si="24"/>
        <v>-450.07</v>
      </c>
      <c r="S59" s="35"/>
      <c r="T59" s="35">
        <f t="shared" si="25"/>
        <v>1505.5210125821236</v>
      </c>
      <c r="U59" s="35">
        <f t="shared" si="26"/>
        <v>-1505.5210125821236</v>
      </c>
    </row>
    <row r="60" spans="1:21" x14ac:dyDescent="0.2">
      <c r="A60" s="20">
        <f t="shared" si="5"/>
        <v>45</v>
      </c>
      <c r="B60" s="21">
        <f t="shared" si="9"/>
        <v>42641</v>
      </c>
      <c r="C60" s="22">
        <v>0</v>
      </c>
      <c r="D60" s="30">
        <f t="shared" si="16"/>
        <v>0.82935212383555479</v>
      </c>
      <c r="E60" s="23">
        <f t="shared" si="1"/>
        <v>0</v>
      </c>
      <c r="G60" s="31">
        <f t="shared" si="17"/>
        <v>-108465.91075492746</v>
      </c>
      <c r="H60" s="32">
        <f t="shared" si="18"/>
        <v>-451.94</v>
      </c>
      <c r="I60" s="33">
        <f t="shared" si="19"/>
        <v>-108917.85075492747</v>
      </c>
      <c r="J60" s="26"/>
      <c r="K60" s="34">
        <f t="shared" si="8"/>
        <v>90331.260754927411</v>
      </c>
      <c r="L60" s="35">
        <f t="shared" si="20"/>
        <v>-66242.924553613469</v>
      </c>
      <c r="M60" s="35">
        <f t="shared" si="15"/>
        <v>-1505.5210125821236</v>
      </c>
      <c r="N60" s="34">
        <f t="shared" si="21"/>
        <v>-67748.445566195587</v>
      </c>
      <c r="O60" s="34">
        <f t="shared" si="22"/>
        <v>22582.815188731824</v>
      </c>
      <c r="P60" s="26"/>
      <c r="Q60" s="36">
        <f t="shared" si="23"/>
        <v>451.94</v>
      </c>
      <c r="R60" s="36">
        <f t="shared" si="24"/>
        <v>-451.94</v>
      </c>
      <c r="S60" s="35"/>
      <c r="T60" s="35">
        <f t="shared" si="25"/>
        <v>1505.5210125821236</v>
      </c>
      <c r="U60" s="35">
        <f t="shared" si="26"/>
        <v>-1505.5210125821236</v>
      </c>
    </row>
    <row r="61" spans="1:21" x14ac:dyDescent="0.2">
      <c r="A61" s="20">
        <f t="shared" si="5"/>
        <v>46</v>
      </c>
      <c r="B61" s="21">
        <f t="shared" si="9"/>
        <v>42671</v>
      </c>
      <c r="C61" s="22">
        <v>0</v>
      </c>
      <c r="D61" s="30">
        <f t="shared" si="16"/>
        <v>0.82591082871590515</v>
      </c>
      <c r="E61" s="23">
        <f t="shared" si="1"/>
        <v>0</v>
      </c>
      <c r="G61" s="31">
        <f t="shared" si="17"/>
        <v>-108917.85075492747</v>
      </c>
      <c r="H61" s="32">
        <f t="shared" si="18"/>
        <v>-453.82</v>
      </c>
      <c r="I61" s="33">
        <f t="shared" si="19"/>
        <v>-109371.67075492747</v>
      </c>
      <c r="J61" s="26"/>
      <c r="K61" s="34">
        <f t="shared" si="8"/>
        <v>90331.260754927411</v>
      </c>
      <c r="L61" s="35">
        <f t="shared" si="20"/>
        <v>-67748.445566195587</v>
      </c>
      <c r="M61" s="35">
        <f t="shared" si="15"/>
        <v>-1505.5210125821236</v>
      </c>
      <c r="N61" s="34">
        <f t="shared" si="21"/>
        <v>-69253.966578777705</v>
      </c>
      <c r="O61" s="34">
        <f t="shared" si="22"/>
        <v>21077.294176149706</v>
      </c>
      <c r="P61" s="26"/>
      <c r="Q61" s="36">
        <f t="shared" si="23"/>
        <v>453.82</v>
      </c>
      <c r="R61" s="36">
        <f t="shared" si="24"/>
        <v>-453.82</v>
      </c>
      <c r="S61" s="35"/>
      <c r="T61" s="35">
        <f t="shared" si="25"/>
        <v>1505.5210125821236</v>
      </c>
      <c r="U61" s="35">
        <f t="shared" si="26"/>
        <v>-1505.5210125821236</v>
      </c>
    </row>
    <row r="62" spans="1:21" x14ac:dyDescent="0.2">
      <c r="A62" s="20">
        <f t="shared" si="5"/>
        <v>47</v>
      </c>
      <c r="B62" s="21">
        <f t="shared" si="9"/>
        <v>42702</v>
      </c>
      <c r="C62" s="22">
        <v>0</v>
      </c>
      <c r="D62" s="30">
        <f t="shared" si="16"/>
        <v>0.82248381282911687</v>
      </c>
      <c r="E62" s="23">
        <f t="shared" si="1"/>
        <v>0</v>
      </c>
      <c r="G62" s="31">
        <f t="shared" si="17"/>
        <v>-109371.67075492747</v>
      </c>
      <c r="H62" s="32">
        <f t="shared" si="18"/>
        <v>-455.72</v>
      </c>
      <c r="I62" s="33">
        <f t="shared" si="19"/>
        <v>-109827.39075492747</v>
      </c>
      <c r="J62" s="26"/>
      <c r="K62" s="34">
        <f t="shared" si="8"/>
        <v>90331.260754927411</v>
      </c>
      <c r="L62" s="35">
        <f t="shared" si="20"/>
        <v>-69253.966578777705</v>
      </c>
      <c r="M62" s="35">
        <f t="shared" si="15"/>
        <v>-1505.5210125821236</v>
      </c>
      <c r="N62" s="34">
        <f t="shared" si="21"/>
        <v>-70759.487591359823</v>
      </c>
      <c r="O62" s="34">
        <f t="shared" si="22"/>
        <v>19571.773163567588</v>
      </c>
      <c r="P62" s="26"/>
      <c r="Q62" s="36">
        <f t="shared" si="23"/>
        <v>455.72</v>
      </c>
      <c r="R62" s="36">
        <f t="shared" si="24"/>
        <v>-455.72</v>
      </c>
      <c r="S62" s="35"/>
      <c r="T62" s="35">
        <f t="shared" si="25"/>
        <v>1505.5210125821236</v>
      </c>
      <c r="U62" s="35">
        <f t="shared" si="26"/>
        <v>-1505.5210125821236</v>
      </c>
    </row>
    <row r="63" spans="1:21" x14ac:dyDescent="0.2">
      <c r="A63" s="20">
        <f t="shared" si="5"/>
        <v>48</v>
      </c>
      <c r="B63" s="21">
        <f t="shared" si="9"/>
        <v>42732</v>
      </c>
      <c r="C63" s="22">
        <v>0</v>
      </c>
      <c r="D63" s="30">
        <f t="shared" si="16"/>
        <v>0.81907101692526174</v>
      </c>
      <c r="E63" s="23">
        <f t="shared" si="1"/>
        <v>0</v>
      </c>
      <c r="G63" s="31">
        <f t="shared" si="17"/>
        <v>-109827.39075492747</v>
      </c>
      <c r="H63" s="32">
        <f>ROUND(G63*C$11,2)</f>
        <v>-457.61</v>
      </c>
      <c r="I63" s="33">
        <f>G63+H63</f>
        <v>-110285.00075492747</v>
      </c>
      <c r="J63" s="26"/>
      <c r="K63" s="34">
        <f t="shared" si="8"/>
        <v>90331.260754927411</v>
      </c>
      <c r="L63" s="35">
        <f t="shared" si="20"/>
        <v>-70759.487591359823</v>
      </c>
      <c r="M63" s="35">
        <f t="shared" si="15"/>
        <v>-1505.5210125821236</v>
      </c>
      <c r="N63" s="34">
        <f t="shared" si="21"/>
        <v>-72265.00860394194</v>
      </c>
      <c r="O63" s="34">
        <f t="shared" si="22"/>
        <v>18066.252150985471</v>
      </c>
      <c r="P63" s="26"/>
      <c r="Q63" s="36">
        <f t="shared" si="23"/>
        <v>457.61</v>
      </c>
      <c r="R63" s="36">
        <f t="shared" si="24"/>
        <v>-457.61</v>
      </c>
      <c r="S63" s="35"/>
      <c r="T63" s="35">
        <f t="shared" si="25"/>
        <v>1505.5210125821236</v>
      </c>
      <c r="U63" s="35">
        <f t="shared" si="26"/>
        <v>-1505.5210125821236</v>
      </c>
    </row>
    <row r="64" spans="1:21" x14ac:dyDescent="0.2">
      <c r="A64" s="20">
        <f t="shared" si="5"/>
        <v>49</v>
      </c>
      <c r="B64" s="21">
        <f t="shared" si="9"/>
        <v>42763</v>
      </c>
      <c r="C64" s="22">
        <v>0</v>
      </c>
      <c r="D64" s="30">
        <f t="shared" si="16"/>
        <v>0.81567238200026071</v>
      </c>
      <c r="E64" s="23">
        <f t="shared" si="1"/>
        <v>0</v>
      </c>
      <c r="G64" s="31">
        <f t="shared" si="17"/>
        <v>-110285.00075492747</v>
      </c>
      <c r="H64" s="32">
        <f t="shared" si="18"/>
        <v>-459.52</v>
      </c>
      <c r="I64" s="33">
        <f t="shared" si="19"/>
        <v>-110744.52075492748</v>
      </c>
      <c r="J64" s="26"/>
      <c r="K64" s="34">
        <f t="shared" si="8"/>
        <v>90331.260754927411</v>
      </c>
      <c r="L64" s="35">
        <f t="shared" si="20"/>
        <v>-72265.00860394194</v>
      </c>
      <c r="M64" s="35">
        <f t="shared" si="15"/>
        <v>-1505.5210125821236</v>
      </c>
      <c r="N64" s="34">
        <f t="shared" si="21"/>
        <v>-73770.529616524058</v>
      </c>
      <c r="O64" s="34">
        <f t="shared" si="22"/>
        <v>16560.731138403353</v>
      </c>
      <c r="P64" s="26"/>
      <c r="Q64" s="36">
        <f t="shared" si="23"/>
        <v>459.52</v>
      </c>
      <c r="R64" s="36">
        <f t="shared" si="24"/>
        <v>-459.52</v>
      </c>
      <c r="S64" s="35"/>
      <c r="T64" s="35">
        <f t="shared" si="25"/>
        <v>1505.5210125821236</v>
      </c>
      <c r="U64" s="35">
        <f t="shared" si="26"/>
        <v>-1505.5210125821236</v>
      </c>
    </row>
    <row r="65" spans="1:21" x14ac:dyDescent="0.2">
      <c r="A65" s="20">
        <f t="shared" si="5"/>
        <v>50</v>
      </c>
      <c r="B65" s="21">
        <f t="shared" si="9"/>
        <v>42794</v>
      </c>
      <c r="C65" s="22">
        <v>0</v>
      </c>
      <c r="D65" s="30">
        <f t="shared" si="16"/>
        <v>0.81228784929486553</v>
      </c>
      <c r="E65" s="23">
        <f t="shared" si="1"/>
        <v>0</v>
      </c>
      <c r="G65" s="31">
        <f t="shared" si="17"/>
        <v>-110744.52075492748</v>
      </c>
      <c r="H65" s="32">
        <f t="shared" si="18"/>
        <v>-461.44</v>
      </c>
      <c r="I65" s="33">
        <f t="shared" si="19"/>
        <v>-111205.96075492748</v>
      </c>
      <c r="J65" s="26"/>
      <c r="K65" s="34">
        <f t="shared" si="8"/>
        <v>90331.260754927411</v>
      </c>
      <c r="L65" s="35">
        <f t="shared" si="20"/>
        <v>-73770.529616524058</v>
      </c>
      <c r="M65" s="35">
        <f t="shared" si="15"/>
        <v>-1505.5210125821236</v>
      </c>
      <c r="N65" s="34">
        <f t="shared" si="21"/>
        <v>-75276.050629106176</v>
      </c>
      <c r="O65" s="34">
        <f t="shared" si="22"/>
        <v>15055.210125821235</v>
      </c>
      <c r="P65" s="26"/>
      <c r="Q65" s="36">
        <f t="shared" si="23"/>
        <v>461.44</v>
      </c>
      <c r="R65" s="36">
        <f t="shared" si="24"/>
        <v>-461.44</v>
      </c>
      <c r="S65" s="35"/>
      <c r="T65" s="35">
        <f t="shared" si="25"/>
        <v>1505.5210125821236</v>
      </c>
      <c r="U65" s="35">
        <f t="shared" si="26"/>
        <v>-1505.5210125821236</v>
      </c>
    </row>
    <row r="66" spans="1:21" x14ac:dyDescent="0.2">
      <c r="A66" s="20">
        <f t="shared" si="5"/>
        <v>51</v>
      </c>
      <c r="B66" s="21">
        <f t="shared" si="9"/>
        <v>42822</v>
      </c>
      <c r="C66" s="22">
        <v>0</v>
      </c>
      <c r="D66" s="30">
        <f t="shared" si="16"/>
        <v>0.80891736029364192</v>
      </c>
      <c r="E66" s="23">
        <f t="shared" si="1"/>
        <v>0</v>
      </c>
      <c r="G66" s="31">
        <f t="shared" si="17"/>
        <v>-111205.96075492748</v>
      </c>
      <c r="H66" s="32">
        <f t="shared" si="18"/>
        <v>-463.36</v>
      </c>
      <c r="I66" s="33">
        <f t="shared" si="19"/>
        <v>-111669.32075492748</v>
      </c>
      <c r="J66" s="26"/>
      <c r="K66" s="34">
        <f t="shared" si="8"/>
        <v>90331.260754927411</v>
      </c>
      <c r="L66" s="35">
        <f t="shared" si="20"/>
        <v>-75276.050629106176</v>
      </c>
      <c r="M66" s="35">
        <f t="shared" si="15"/>
        <v>-1505.5210125821236</v>
      </c>
      <c r="N66" s="34">
        <f t="shared" si="21"/>
        <v>-76781.571641688293</v>
      </c>
      <c r="O66" s="34">
        <f t="shared" si="22"/>
        <v>13549.689113239117</v>
      </c>
      <c r="P66" s="26"/>
      <c r="Q66" s="36">
        <f t="shared" si="23"/>
        <v>463.36</v>
      </c>
      <c r="R66" s="36">
        <f t="shared" si="24"/>
        <v>-463.36</v>
      </c>
      <c r="S66" s="35"/>
      <c r="T66" s="35">
        <f t="shared" si="25"/>
        <v>1505.5210125821236</v>
      </c>
      <c r="U66" s="35">
        <f t="shared" si="26"/>
        <v>-1505.5210125821236</v>
      </c>
    </row>
    <row r="67" spans="1:21" x14ac:dyDescent="0.2">
      <c r="A67" s="20">
        <f t="shared" si="5"/>
        <v>52</v>
      </c>
      <c r="B67" s="21">
        <f t="shared" si="9"/>
        <v>42853</v>
      </c>
      <c r="C67" s="22">
        <v>0</v>
      </c>
      <c r="D67" s="30">
        <f t="shared" si="0"/>
        <v>0.80556085672395861</v>
      </c>
      <c r="E67" s="23">
        <f t="shared" si="1"/>
        <v>0</v>
      </c>
      <c r="G67" s="31">
        <f t="shared" si="10"/>
        <v>-111669.32075492748</v>
      </c>
      <c r="H67" s="32">
        <f t="shared" si="6"/>
        <v>-465.29</v>
      </c>
      <c r="I67" s="33">
        <f t="shared" si="7"/>
        <v>-112134.61075492747</v>
      </c>
      <c r="J67" s="26"/>
      <c r="K67" s="34">
        <f t="shared" si="8"/>
        <v>90331.260754927411</v>
      </c>
      <c r="L67" s="35">
        <f t="shared" si="14"/>
        <v>-76781.571641688293</v>
      </c>
      <c r="M67" s="35">
        <f>M66</f>
        <v>-1505.5210125821236</v>
      </c>
      <c r="N67" s="34">
        <f>M67+L67</f>
        <v>-78287.092654270411</v>
      </c>
      <c r="O67" s="34">
        <f t="shared" si="2"/>
        <v>12044.168100657</v>
      </c>
      <c r="P67" s="26"/>
      <c r="Q67" s="36">
        <f t="shared" si="3"/>
        <v>465.29</v>
      </c>
      <c r="R67" s="36">
        <f t="shared" si="4"/>
        <v>-465.29</v>
      </c>
      <c r="S67" s="35"/>
      <c r="T67" s="35">
        <f t="shared" si="12"/>
        <v>1505.5210125821236</v>
      </c>
      <c r="U67" s="35">
        <f t="shared" si="13"/>
        <v>-1505.5210125821236</v>
      </c>
    </row>
    <row r="68" spans="1:21" x14ac:dyDescent="0.2">
      <c r="A68" s="20">
        <f t="shared" si="5"/>
        <v>53</v>
      </c>
      <c r="B68" s="21">
        <f t="shared" si="9"/>
        <v>42883</v>
      </c>
      <c r="C68" s="22">
        <v>0</v>
      </c>
      <c r="D68" s="30">
        <f t="shared" si="0"/>
        <v>0.80221828055497957</v>
      </c>
      <c r="E68" s="23">
        <f t="shared" si="1"/>
        <v>0</v>
      </c>
      <c r="G68" s="31">
        <f t="shared" si="10"/>
        <v>-112134.61075492747</v>
      </c>
      <c r="H68" s="32">
        <f t="shared" si="6"/>
        <v>-467.23</v>
      </c>
      <c r="I68" s="33">
        <f t="shared" si="7"/>
        <v>-112601.84075492747</v>
      </c>
      <c r="J68" s="26"/>
      <c r="K68" s="34">
        <f t="shared" si="8"/>
        <v>90331.260754927411</v>
      </c>
      <c r="L68" s="35">
        <f>N67</f>
        <v>-78287.092654270411</v>
      </c>
      <c r="M68" s="35">
        <f t="shared" si="15"/>
        <v>-1505.5210125821236</v>
      </c>
      <c r="N68" s="34">
        <f t="shared" si="11"/>
        <v>-79792.613666852529</v>
      </c>
      <c r="O68" s="34">
        <f t="shared" si="2"/>
        <v>10538.647088074882</v>
      </c>
      <c r="P68" s="26"/>
      <c r="Q68" s="36">
        <f t="shared" si="3"/>
        <v>467.23</v>
      </c>
      <c r="R68" s="36">
        <f t="shared" si="4"/>
        <v>-467.23</v>
      </c>
      <c r="S68" s="35"/>
      <c r="T68" s="35">
        <f t="shared" si="12"/>
        <v>1505.5210125821236</v>
      </c>
      <c r="U68" s="35">
        <f t="shared" si="13"/>
        <v>-1505.5210125821236</v>
      </c>
    </row>
    <row r="69" spans="1:21" x14ac:dyDescent="0.2">
      <c r="A69" s="20">
        <f t="shared" si="5"/>
        <v>54</v>
      </c>
      <c r="B69" s="21">
        <f t="shared" si="9"/>
        <v>42914</v>
      </c>
      <c r="C69" s="22">
        <v>0</v>
      </c>
      <c r="D69" s="30">
        <f>(1+D$11)^-A69</f>
        <v>0.79888957399666016</v>
      </c>
      <c r="E69" s="23">
        <f t="shared" si="1"/>
        <v>0</v>
      </c>
      <c r="G69" s="31">
        <f t="shared" si="10"/>
        <v>-112601.84075492747</v>
      </c>
      <c r="H69" s="32">
        <f t="shared" si="6"/>
        <v>-469.17</v>
      </c>
      <c r="I69" s="33">
        <f t="shared" si="7"/>
        <v>-113071.01075492747</v>
      </c>
      <c r="J69" s="26"/>
      <c r="K69" s="34">
        <f t="shared" si="8"/>
        <v>90331.260754927411</v>
      </c>
      <c r="L69" s="35">
        <f t="shared" si="14"/>
        <v>-79792.613666852529</v>
      </c>
      <c r="M69" s="35">
        <f t="shared" si="15"/>
        <v>-1505.5210125821236</v>
      </c>
      <c r="N69" s="34">
        <f t="shared" si="11"/>
        <v>-81298.134679434646</v>
      </c>
      <c r="O69" s="34">
        <f t="shared" si="2"/>
        <v>9033.1260754927644</v>
      </c>
      <c r="P69" s="26"/>
      <c r="Q69" s="36">
        <f t="shared" si="3"/>
        <v>469.17</v>
      </c>
      <c r="R69" s="36">
        <f t="shared" si="4"/>
        <v>-469.17</v>
      </c>
      <c r="S69" s="35"/>
      <c r="T69" s="35">
        <f t="shared" si="12"/>
        <v>1505.5210125821236</v>
      </c>
      <c r="U69" s="35">
        <f t="shared" si="13"/>
        <v>-1505.5210125821236</v>
      </c>
    </row>
    <row r="70" spans="1:21" x14ac:dyDescent="0.2">
      <c r="A70" s="20">
        <f t="shared" si="5"/>
        <v>55</v>
      </c>
      <c r="B70" s="21">
        <f t="shared" si="9"/>
        <v>42944</v>
      </c>
      <c r="C70" s="22">
        <v>0</v>
      </c>
      <c r="D70" s="30">
        <f t="shared" si="0"/>
        <v>0.79557467949874849</v>
      </c>
      <c r="E70" s="23">
        <f t="shared" si="1"/>
        <v>0</v>
      </c>
      <c r="G70" s="31">
        <f t="shared" si="10"/>
        <v>-113071.01075492747</v>
      </c>
      <c r="H70" s="32">
        <f t="shared" si="6"/>
        <v>-471.13</v>
      </c>
      <c r="I70" s="33">
        <f t="shared" si="7"/>
        <v>-113542.14075492747</v>
      </c>
      <c r="J70" s="26"/>
      <c r="K70" s="34">
        <f t="shared" si="8"/>
        <v>90331.260754927411</v>
      </c>
      <c r="L70" s="35">
        <f>N69</f>
        <v>-81298.134679434646</v>
      </c>
      <c r="M70" s="35">
        <f t="shared" si="15"/>
        <v>-1505.5210125821236</v>
      </c>
      <c r="N70" s="34">
        <f t="shared" si="11"/>
        <v>-82803.655692016764</v>
      </c>
      <c r="O70" s="34">
        <f t="shared" si="2"/>
        <v>7527.6050629106467</v>
      </c>
      <c r="P70" s="26"/>
      <c r="Q70" s="36">
        <f t="shared" si="3"/>
        <v>471.13</v>
      </c>
      <c r="R70" s="36">
        <f t="shared" si="4"/>
        <v>-471.13</v>
      </c>
      <c r="S70" s="35"/>
      <c r="T70" s="35">
        <f t="shared" si="12"/>
        <v>1505.5210125821236</v>
      </c>
      <c r="U70" s="35">
        <f t="shared" si="13"/>
        <v>-1505.5210125821236</v>
      </c>
    </row>
    <row r="71" spans="1:21" x14ac:dyDescent="0.2">
      <c r="A71" s="20">
        <f t="shared" si="5"/>
        <v>56</v>
      </c>
      <c r="B71" s="21">
        <f t="shared" si="9"/>
        <v>42975</v>
      </c>
      <c r="C71" s="22">
        <v>0</v>
      </c>
      <c r="D71" s="30">
        <f t="shared" si="0"/>
        <v>0.7922735397497912</v>
      </c>
      <c r="E71" s="23">
        <f t="shared" si="1"/>
        <v>0</v>
      </c>
      <c r="G71" s="31">
        <f t="shared" si="10"/>
        <v>-113542.14075492747</v>
      </c>
      <c r="H71" s="32">
        <f t="shared" si="6"/>
        <v>-473.09</v>
      </c>
      <c r="I71" s="33">
        <f t="shared" si="7"/>
        <v>-114015.23075492747</v>
      </c>
      <c r="J71" s="26"/>
      <c r="K71" s="34">
        <f t="shared" si="8"/>
        <v>90331.260754927411</v>
      </c>
      <c r="L71" s="35">
        <f t="shared" si="14"/>
        <v>-82803.655692016764</v>
      </c>
      <c r="M71" s="35">
        <f t="shared" si="15"/>
        <v>-1505.5210125821236</v>
      </c>
      <c r="N71" s="34">
        <f t="shared" si="11"/>
        <v>-84309.176704598882</v>
      </c>
      <c r="O71" s="34">
        <f t="shared" si="2"/>
        <v>6022.084050328529</v>
      </c>
      <c r="P71" s="26"/>
      <c r="Q71" s="36">
        <f t="shared" si="3"/>
        <v>473.09</v>
      </c>
      <c r="R71" s="36">
        <f t="shared" si="4"/>
        <v>-473.09</v>
      </c>
      <c r="S71" s="35"/>
      <c r="T71" s="35">
        <f t="shared" si="12"/>
        <v>1505.5210125821236</v>
      </c>
      <c r="U71" s="35">
        <f t="shared" si="13"/>
        <v>-1505.5210125821236</v>
      </c>
    </row>
    <row r="72" spans="1:21" x14ac:dyDescent="0.2">
      <c r="A72" s="20">
        <f t="shared" si="5"/>
        <v>57</v>
      </c>
      <c r="B72" s="21">
        <f t="shared" si="9"/>
        <v>43006</v>
      </c>
      <c r="C72" s="22">
        <v>0</v>
      </c>
      <c r="D72" s="30">
        <f t="shared" si="0"/>
        <v>0.78898609767614081</v>
      </c>
      <c r="E72" s="23">
        <f t="shared" si="1"/>
        <v>0</v>
      </c>
      <c r="G72" s="31">
        <f t="shared" si="10"/>
        <v>-114015.23075492747</v>
      </c>
      <c r="H72" s="32">
        <f t="shared" si="6"/>
        <v>-475.06</v>
      </c>
      <c r="I72" s="33">
        <f t="shared" si="7"/>
        <v>-114490.29075492747</v>
      </c>
      <c r="J72" s="26"/>
      <c r="K72" s="34">
        <f t="shared" si="8"/>
        <v>90331.260754927411</v>
      </c>
      <c r="L72" s="35">
        <f t="shared" si="14"/>
        <v>-84309.176704598882</v>
      </c>
      <c r="M72" s="35">
        <f t="shared" si="15"/>
        <v>-1505.5210125821236</v>
      </c>
      <c r="N72" s="34">
        <f t="shared" si="11"/>
        <v>-85814.697717180999</v>
      </c>
      <c r="O72" s="34">
        <f t="shared" si="2"/>
        <v>4516.5630377464113</v>
      </c>
      <c r="P72" s="26"/>
      <c r="Q72" s="36">
        <f t="shared" si="3"/>
        <v>475.06</v>
      </c>
      <c r="R72" s="36">
        <f t="shared" si="4"/>
        <v>-475.06</v>
      </c>
      <c r="S72" s="35"/>
      <c r="T72" s="35">
        <f t="shared" si="12"/>
        <v>1505.5210125821236</v>
      </c>
      <c r="U72" s="35">
        <f t="shared" si="13"/>
        <v>-1505.5210125821236</v>
      </c>
    </row>
    <row r="73" spans="1:21" x14ac:dyDescent="0.2">
      <c r="A73" s="20">
        <f t="shared" si="5"/>
        <v>58</v>
      </c>
      <c r="B73" s="21">
        <f t="shared" si="9"/>
        <v>43036</v>
      </c>
      <c r="C73" s="22">
        <v>0</v>
      </c>
      <c r="D73" s="30">
        <f t="shared" ref="D73:D74" si="27">(1+D$11)^-A73</f>
        <v>0.78571229644096985</v>
      </c>
      <c r="E73" s="23">
        <f t="shared" ref="E73:E74" si="28">C73*D73</f>
        <v>0</v>
      </c>
      <c r="G73" s="31">
        <f t="shared" ref="G73:G74" si="29">I72</f>
        <v>-114490.29075492747</v>
      </c>
      <c r="H73" s="32">
        <f t="shared" ref="H73:H75" si="30">ROUND(G73*C$11,2)</f>
        <v>-477.04</v>
      </c>
      <c r="I73" s="33">
        <f t="shared" ref="I73:I74" si="31">G73+H73</f>
        <v>-114967.33075492746</v>
      </c>
      <c r="J73" s="26"/>
      <c r="K73" s="34">
        <f t="shared" si="8"/>
        <v>90331.260754927411</v>
      </c>
      <c r="L73" s="35">
        <f t="shared" ref="L73:L74" si="32">N72</f>
        <v>-85814.697717180999</v>
      </c>
      <c r="M73" s="35">
        <f t="shared" si="15"/>
        <v>-1505.5210125821236</v>
      </c>
      <c r="N73" s="34">
        <f t="shared" ref="N73:N74" si="33">M73+L73</f>
        <v>-87320.218729763117</v>
      </c>
      <c r="O73" s="34">
        <f t="shared" ref="O73:O74" si="34">K73+N73</f>
        <v>3011.0420251642936</v>
      </c>
      <c r="P73" s="26"/>
      <c r="Q73" s="36">
        <f t="shared" ref="Q73:Q74" si="35">H73*-1</f>
        <v>477.04</v>
      </c>
      <c r="R73" s="36">
        <f t="shared" ref="R73:R74" si="36">-Q73</f>
        <v>-477.04</v>
      </c>
      <c r="S73" s="35"/>
      <c r="T73" s="35">
        <f t="shared" ref="T73:T74" si="37">-M73</f>
        <v>1505.5210125821236</v>
      </c>
      <c r="U73" s="35">
        <f t="shared" ref="U73:U74" si="38">M73</f>
        <v>-1505.5210125821236</v>
      </c>
    </row>
    <row r="74" spans="1:21" x14ac:dyDescent="0.2">
      <c r="A74" s="20">
        <f t="shared" si="5"/>
        <v>59</v>
      </c>
      <c r="B74" s="21">
        <f t="shared" si="9"/>
        <v>43067</v>
      </c>
      <c r="C74" s="22">
        <v>0</v>
      </c>
      <c r="D74" s="30">
        <f t="shared" si="27"/>
        <v>0.78245207944328965</v>
      </c>
      <c r="E74" s="23">
        <f t="shared" si="28"/>
        <v>0</v>
      </c>
      <c r="G74" s="31">
        <f t="shared" si="29"/>
        <v>-114967.33075492746</v>
      </c>
      <c r="H74" s="32">
        <f t="shared" si="30"/>
        <v>-479.03</v>
      </c>
      <c r="I74" s="33">
        <f t="shared" si="31"/>
        <v>-115446.36075492746</v>
      </c>
      <c r="J74" s="26"/>
      <c r="K74" s="34">
        <f t="shared" si="8"/>
        <v>90331.260754927411</v>
      </c>
      <c r="L74" s="35">
        <f t="shared" si="32"/>
        <v>-87320.218729763117</v>
      </c>
      <c r="M74" s="35">
        <f t="shared" si="15"/>
        <v>-1505.5210125821236</v>
      </c>
      <c r="N74" s="34">
        <f t="shared" si="33"/>
        <v>-88825.739742345235</v>
      </c>
      <c r="O74" s="34">
        <f t="shared" si="34"/>
        <v>1505.5210125821759</v>
      </c>
      <c r="P74" s="26"/>
      <c r="Q74" s="36">
        <f t="shared" si="35"/>
        <v>479.03</v>
      </c>
      <c r="R74" s="36">
        <f t="shared" si="36"/>
        <v>-479.03</v>
      </c>
      <c r="S74" s="35"/>
      <c r="T74" s="35">
        <f t="shared" si="37"/>
        <v>1505.5210125821236</v>
      </c>
      <c r="U74" s="35">
        <f t="shared" si="38"/>
        <v>-1505.5210125821236</v>
      </c>
    </row>
    <row r="75" spans="1:21" ht="13.5" thickBot="1" x14ac:dyDescent="0.25">
      <c r="A75" s="37">
        <f t="shared" si="5"/>
        <v>60</v>
      </c>
      <c r="B75" s="38">
        <f t="shared" si="9"/>
        <v>43097</v>
      </c>
      <c r="C75" s="39">
        <f>-'1-New ARO Terms'!C13</f>
        <v>-115927.40742999998</v>
      </c>
      <c r="D75" s="40">
        <f>(1+D$11)^-A75</f>
        <v>0.77920539031696889</v>
      </c>
      <c r="E75" s="39">
        <f>C75*D75</f>
        <v>-90331.260754927411</v>
      </c>
      <c r="F75" s="79"/>
      <c r="G75" s="41">
        <f t="shared" si="10"/>
        <v>-115446.36075492746</v>
      </c>
      <c r="H75" s="78">
        <f t="shared" si="30"/>
        <v>-481.03</v>
      </c>
      <c r="I75" s="42">
        <f t="shared" si="7"/>
        <v>-115927.39075492746</v>
      </c>
      <c r="J75" s="43"/>
      <c r="K75" s="44">
        <f t="shared" si="8"/>
        <v>90331.260754927411</v>
      </c>
      <c r="L75" s="45">
        <f t="shared" si="14"/>
        <v>-88825.739742345235</v>
      </c>
      <c r="M75" s="45">
        <f t="shared" si="15"/>
        <v>-1505.5210125821236</v>
      </c>
      <c r="N75" s="44">
        <f t="shared" si="11"/>
        <v>-90331.260754927353</v>
      </c>
      <c r="O75" s="44">
        <f t="shared" si="2"/>
        <v>0</v>
      </c>
      <c r="P75" s="43"/>
      <c r="Q75" s="46">
        <f t="shared" si="3"/>
        <v>481.03</v>
      </c>
      <c r="R75" s="46">
        <f t="shared" si="4"/>
        <v>-481.03</v>
      </c>
      <c r="S75" s="45"/>
      <c r="T75" s="45">
        <f t="shared" si="12"/>
        <v>1505.5210125821236</v>
      </c>
      <c r="U75" s="45">
        <f t="shared" si="13"/>
        <v>-1505.5210125821236</v>
      </c>
    </row>
    <row r="76" spans="1:21" x14ac:dyDescent="0.2">
      <c r="A76" s="20"/>
      <c r="B76" s="21"/>
      <c r="C76" s="22"/>
      <c r="D76" s="30"/>
      <c r="E76" s="28"/>
      <c r="G76" s="24"/>
      <c r="H76" s="55" t="s">
        <v>87</v>
      </c>
      <c r="I76" s="113">
        <f>-'1-New ARO Terms'!C13</f>
        <v>-115927.40742999998</v>
      </c>
      <c r="J76" s="27"/>
      <c r="K76" s="47"/>
      <c r="L76" s="27"/>
      <c r="M76" s="48"/>
      <c r="N76" s="115" t="s">
        <v>88</v>
      </c>
      <c r="O76" s="115">
        <v>0</v>
      </c>
      <c r="P76" s="26"/>
      <c r="Q76" s="27"/>
      <c r="R76" s="27"/>
      <c r="S76" s="26"/>
      <c r="T76" s="26"/>
      <c r="U76" s="26"/>
    </row>
    <row r="77" spans="1:21" x14ac:dyDescent="0.2">
      <c r="A77" s="20"/>
      <c r="B77" s="21"/>
      <c r="D77" s="30"/>
      <c r="E77" s="49"/>
      <c r="G77" s="24"/>
      <c r="H77" s="55" t="s">
        <v>82</v>
      </c>
      <c r="I77" s="113">
        <f>I75-I76</f>
        <v>1.6675072518410161E-2</v>
      </c>
      <c r="J77" s="26"/>
      <c r="K77" s="25"/>
      <c r="L77" s="26"/>
      <c r="N77" s="114" t="s">
        <v>82</v>
      </c>
      <c r="O77" s="115">
        <f>O75-O76</f>
        <v>0</v>
      </c>
      <c r="P77" s="26"/>
      <c r="Q77" s="35">
        <f>SUM(Q15:Q76)</f>
        <v>25596.13</v>
      </c>
      <c r="R77" s="27"/>
      <c r="S77" s="26"/>
      <c r="T77" s="35">
        <f>SUM(T15:T76)</f>
        <v>90331.260754927353</v>
      </c>
      <c r="U77" s="26"/>
    </row>
    <row r="78" spans="1:21" x14ac:dyDescent="0.2">
      <c r="A78" s="4"/>
      <c r="B78" s="13" t="s">
        <v>25</v>
      </c>
      <c r="C78" s="51">
        <f>C11</f>
        <v>4.1666666666666666E-3</v>
      </c>
      <c r="D78" s="50"/>
    </row>
    <row r="79" spans="1:21" x14ac:dyDescent="0.2">
      <c r="A79" s="4"/>
      <c r="B79" s="13"/>
      <c r="C79" s="52"/>
    </row>
    <row r="80" spans="1:21" x14ac:dyDescent="0.2">
      <c r="A80" s="4"/>
      <c r="B80" s="53" t="s">
        <v>26</v>
      </c>
      <c r="C80" s="54">
        <f>NPV($C$78,$C16:$C$75)</f>
        <v>-90331.260754927556</v>
      </c>
      <c r="D80" s="26"/>
      <c r="E80" s="54">
        <f>E75</f>
        <v>-90331.260754927411</v>
      </c>
    </row>
    <row r="81" spans="1:9" x14ac:dyDescent="0.2">
      <c r="A81" s="4"/>
      <c r="B81" s="4"/>
      <c r="C81" s="4"/>
      <c r="E81" s="116">
        <f>C80-E80</f>
        <v>-1.4551915228366852E-10</v>
      </c>
      <c r="F81" s="117" t="s">
        <v>89</v>
      </c>
    </row>
    <row r="82" spans="1:9" x14ac:dyDescent="0.2">
      <c r="A82" s="4"/>
      <c r="B82" s="4"/>
      <c r="C82" s="4"/>
      <c r="E82" s="55"/>
    </row>
    <row r="83" spans="1:9" x14ac:dyDescent="0.2">
      <c r="A83" s="4"/>
      <c r="B83" s="4"/>
      <c r="C83" s="4"/>
      <c r="E83" s="56"/>
    </row>
    <row r="84" spans="1:9" x14ac:dyDescent="0.2">
      <c r="A84" s="4"/>
      <c r="B84" s="4"/>
      <c r="C84" s="85"/>
      <c r="D84" s="86"/>
      <c r="E84" s="87"/>
      <c r="H84" s="36"/>
    </row>
    <row r="85" spans="1:9" x14ac:dyDescent="0.2">
      <c r="A85" s="4"/>
      <c r="B85" s="4"/>
      <c r="C85" s="88"/>
      <c r="D85" s="89"/>
      <c r="E85" s="89"/>
      <c r="G85" s="60"/>
      <c r="H85" s="57"/>
    </row>
    <row r="86" spans="1:9" x14ac:dyDescent="0.2">
      <c r="A86" s="4"/>
      <c r="B86" s="4"/>
      <c r="C86" s="85"/>
      <c r="D86" s="90"/>
      <c r="E86" s="90"/>
      <c r="G86" s="61"/>
      <c r="H86" s="36"/>
      <c r="I86" s="58"/>
    </row>
    <row r="87" spans="1:9" x14ac:dyDescent="0.2">
      <c r="A87" s="4"/>
      <c r="B87" s="4"/>
      <c r="C87" s="68"/>
      <c r="D87" s="69"/>
      <c r="E87" s="90"/>
      <c r="G87" s="61"/>
    </row>
    <row r="88" spans="1:9" x14ac:dyDescent="0.2">
      <c r="A88" s="4"/>
      <c r="B88" s="4"/>
      <c r="C88" s="68"/>
      <c r="D88" s="69"/>
      <c r="E88" s="91"/>
      <c r="G88" s="62"/>
    </row>
    <row r="89" spans="1:9" x14ac:dyDescent="0.2">
      <c r="A89" s="4"/>
      <c r="B89" s="4"/>
      <c r="C89" s="68"/>
      <c r="D89" s="69"/>
      <c r="E89" s="69"/>
    </row>
    <row r="90" spans="1:9" x14ac:dyDescent="0.2">
      <c r="C90" s="4"/>
    </row>
    <row r="91" spans="1:9" x14ac:dyDescent="0.2">
      <c r="C91" s="4"/>
    </row>
    <row r="92" spans="1:9" x14ac:dyDescent="0.2">
      <c r="C92" s="4"/>
    </row>
    <row r="93" spans="1:9" x14ac:dyDescent="0.2">
      <c r="C93" s="4"/>
    </row>
    <row r="94" spans="1:9" x14ac:dyDescent="0.2">
      <c r="C94" s="4"/>
    </row>
    <row r="95" spans="1:9" x14ac:dyDescent="0.2">
      <c r="C95" s="4"/>
    </row>
    <row r="96" spans="1:9" x14ac:dyDescent="0.2">
      <c r="C96" s="4"/>
    </row>
    <row r="97" spans="3:3" x14ac:dyDescent="0.2">
      <c r="C97" s="4"/>
    </row>
    <row r="98" spans="3:3" x14ac:dyDescent="0.2">
      <c r="C98" s="4"/>
    </row>
    <row r="99" spans="3:3" x14ac:dyDescent="0.2">
      <c r="C99" s="4"/>
    </row>
    <row r="100" spans="3:3" x14ac:dyDescent="0.2">
      <c r="C100" s="4"/>
    </row>
    <row r="101" spans="3:3" x14ac:dyDescent="0.2">
      <c r="C101" s="4"/>
    </row>
    <row r="102" spans="3:3" x14ac:dyDescent="0.2">
      <c r="C102" s="4"/>
    </row>
    <row r="103" spans="3:3" x14ac:dyDescent="0.2">
      <c r="C103" s="4"/>
    </row>
    <row r="104" spans="3:3" x14ac:dyDescent="0.2">
      <c r="C104" s="4"/>
    </row>
    <row r="105" spans="3:3" x14ac:dyDescent="0.2">
      <c r="C105" s="4"/>
    </row>
    <row r="106" spans="3:3" x14ac:dyDescent="0.2">
      <c r="C106" s="4"/>
    </row>
    <row r="107" spans="3:3" x14ac:dyDescent="0.2">
      <c r="C107" s="4"/>
    </row>
    <row r="108" spans="3:3" x14ac:dyDescent="0.2">
      <c r="C108" s="4"/>
    </row>
    <row r="109" spans="3:3" x14ac:dyDescent="0.2">
      <c r="C109" s="4"/>
    </row>
    <row r="110" spans="3:3" x14ac:dyDescent="0.2">
      <c r="C110" s="4"/>
    </row>
    <row r="111" spans="3:3" x14ac:dyDescent="0.2">
      <c r="C111" s="4"/>
    </row>
    <row r="112" spans="3:3" x14ac:dyDescent="0.2">
      <c r="C112" s="4"/>
    </row>
    <row r="113" spans="3:3" x14ac:dyDescent="0.2">
      <c r="C113" s="4"/>
    </row>
    <row r="114" spans="3:3" x14ac:dyDescent="0.2">
      <c r="C114" s="4"/>
    </row>
    <row r="115" spans="3:3" x14ac:dyDescent="0.2">
      <c r="C115" s="4"/>
    </row>
    <row r="116" spans="3:3" x14ac:dyDescent="0.2">
      <c r="C116" s="4"/>
    </row>
    <row r="117" spans="3:3" x14ac:dyDescent="0.2">
      <c r="C117" s="4"/>
    </row>
    <row r="118" spans="3:3" x14ac:dyDescent="0.2">
      <c r="C118" s="4"/>
    </row>
    <row r="119" spans="3:3" x14ac:dyDescent="0.2">
      <c r="C119" s="4"/>
    </row>
    <row r="120" spans="3:3" x14ac:dyDescent="0.2">
      <c r="C120" s="4"/>
    </row>
    <row r="121" spans="3:3" x14ac:dyDescent="0.2">
      <c r="C121" s="4"/>
    </row>
    <row r="122" spans="3:3" x14ac:dyDescent="0.2">
      <c r="C122" s="4"/>
    </row>
    <row r="123" spans="3:3" x14ac:dyDescent="0.2">
      <c r="C123" s="4"/>
    </row>
    <row r="124" spans="3:3" x14ac:dyDescent="0.2">
      <c r="C124" s="4"/>
    </row>
    <row r="125" spans="3:3" x14ac:dyDescent="0.2">
      <c r="C125" s="4"/>
    </row>
    <row r="126" spans="3:3" x14ac:dyDescent="0.2">
      <c r="C126" s="4"/>
    </row>
    <row r="127" spans="3:3" x14ac:dyDescent="0.2">
      <c r="C127" s="4"/>
    </row>
    <row r="128" spans="3:3" x14ac:dyDescent="0.2">
      <c r="C128" s="4"/>
    </row>
    <row r="129" spans="3:3" x14ac:dyDescent="0.2">
      <c r="C129" s="4"/>
    </row>
    <row r="130" spans="3:3" x14ac:dyDescent="0.2">
      <c r="C130" s="4"/>
    </row>
    <row r="131" spans="3:3" x14ac:dyDescent="0.2">
      <c r="C131" s="4"/>
    </row>
    <row r="132" spans="3:3" x14ac:dyDescent="0.2">
      <c r="C132" s="4"/>
    </row>
    <row r="133" spans="3:3" x14ac:dyDescent="0.2">
      <c r="C133" s="4"/>
    </row>
    <row r="134" spans="3:3" x14ac:dyDescent="0.2">
      <c r="C134" s="4"/>
    </row>
    <row r="135" spans="3:3" x14ac:dyDescent="0.2">
      <c r="C135" s="4"/>
    </row>
    <row r="136" spans="3:3" x14ac:dyDescent="0.2">
      <c r="C136" s="4"/>
    </row>
    <row r="137" spans="3:3" x14ac:dyDescent="0.2">
      <c r="C137" s="4"/>
    </row>
    <row r="138" spans="3:3" x14ac:dyDescent="0.2">
      <c r="C138" s="4"/>
    </row>
    <row r="139" spans="3:3" x14ac:dyDescent="0.2">
      <c r="C139" s="4"/>
    </row>
    <row r="140" spans="3:3" x14ac:dyDescent="0.2">
      <c r="C140" s="4"/>
    </row>
    <row r="141" spans="3:3" x14ac:dyDescent="0.2">
      <c r="C141" s="4"/>
    </row>
    <row r="142" spans="3:3" x14ac:dyDescent="0.2">
      <c r="C142" s="4"/>
    </row>
    <row r="143" spans="3:3" x14ac:dyDescent="0.2">
      <c r="C143" s="4"/>
    </row>
    <row r="144" spans="3:3" x14ac:dyDescent="0.2">
      <c r="C144" s="4"/>
    </row>
    <row r="145" spans="3:3" x14ac:dyDescent="0.2">
      <c r="C145" s="4"/>
    </row>
    <row r="146" spans="3:3" x14ac:dyDescent="0.2">
      <c r="C146" s="4"/>
    </row>
    <row r="147" spans="3:3" x14ac:dyDescent="0.2">
      <c r="C147" s="4"/>
    </row>
    <row r="148" spans="3:3" x14ac:dyDescent="0.2">
      <c r="C148" s="4"/>
    </row>
    <row r="149" spans="3:3" x14ac:dyDescent="0.2">
      <c r="C149" s="4"/>
    </row>
    <row r="150" spans="3:3" x14ac:dyDescent="0.2">
      <c r="C150" s="4"/>
    </row>
    <row r="151" spans="3:3" x14ac:dyDescent="0.2">
      <c r="C151" s="4"/>
    </row>
    <row r="152" spans="3:3" x14ac:dyDescent="0.2">
      <c r="C152" s="4"/>
    </row>
    <row r="153" spans="3:3" x14ac:dyDescent="0.2">
      <c r="C153" s="4"/>
    </row>
    <row r="154" spans="3:3" x14ac:dyDescent="0.2">
      <c r="C154" s="4"/>
    </row>
    <row r="155" spans="3:3" x14ac:dyDescent="0.2">
      <c r="C155" s="4"/>
    </row>
    <row r="156" spans="3:3" x14ac:dyDescent="0.2">
      <c r="C156" s="4"/>
    </row>
    <row r="157" spans="3:3" x14ac:dyDescent="0.2">
      <c r="C157" s="4"/>
    </row>
    <row r="158" spans="3:3" x14ac:dyDescent="0.2">
      <c r="C158" s="4"/>
    </row>
    <row r="159" spans="3:3" x14ac:dyDescent="0.2">
      <c r="C159" s="4"/>
    </row>
    <row r="160" spans="3:3" x14ac:dyDescent="0.2">
      <c r="C160" s="4"/>
    </row>
    <row r="161" spans="3:3" x14ac:dyDescent="0.2">
      <c r="C161" s="4"/>
    </row>
    <row r="162" spans="3:3" x14ac:dyDescent="0.2">
      <c r="C162" s="4"/>
    </row>
    <row r="163" spans="3:3" x14ac:dyDescent="0.2">
      <c r="C163" s="4"/>
    </row>
    <row r="164" spans="3:3" x14ac:dyDescent="0.2">
      <c r="C164" s="4"/>
    </row>
    <row r="165" spans="3:3" x14ac:dyDescent="0.2">
      <c r="C165" s="4"/>
    </row>
    <row r="166" spans="3:3" x14ac:dyDescent="0.2">
      <c r="C166" s="4"/>
    </row>
    <row r="167" spans="3:3" x14ac:dyDescent="0.2">
      <c r="C167" s="4"/>
    </row>
    <row r="168" spans="3:3" x14ac:dyDescent="0.2">
      <c r="C168" s="4"/>
    </row>
    <row r="169" spans="3:3" x14ac:dyDescent="0.2">
      <c r="C169" s="4"/>
    </row>
    <row r="170" spans="3:3" x14ac:dyDescent="0.2">
      <c r="C170" s="4"/>
    </row>
    <row r="171" spans="3:3" x14ac:dyDescent="0.2">
      <c r="C171" s="4"/>
    </row>
    <row r="172" spans="3:3" x14ac:dyDescent="0.2">
      <c r="C172" s="4"/>
    </row>
    <row r="173" spans="3:3" x14ac:dyDescent="0.2">
      <c r="C173" s="4"/>
    </row>
    <row r="174" spans="3:3" x14ac:dyDescent="0.2">
      <c r="C174" s="4"/>
    </row>
    <row r="175" spans="3:3" x14ac:dyDescent="0.2">
      <c r="C175" s="4"/>
    </row>
    <row r="176" spans="3:3" x14ac:dyDescent="0.2">
      <c r="C176" s="4"/>
    </row>
    <row r="177" spans="3:3" x14ac:dyDescent="0.2">
      <c r="C177" s="4"/>
    </row>
    <row r="178" spans="3:3" x14ac:dyDescent="0.2">
      <c r="C178" s="4"/>
    </row>
    <row r="179" spans="3:3" x14ac:dyDescent="0.2">
      <c r="C179" s="4"/>
    </row>
    <row r="180" spans="3:3" x14ac:dyDescent="0.2">
      <c r="C180" s="4"/>
    </row>
    <row r="181" spans="3:3" x14ac:dyDescent="0.2">
      <c r="C181" s="4"/>
    </row>
    <row r="182" spans="3:3" x14ac:dyDescent="0.2">
      <c r="C182" s="4"/>
    </row>
    <row r="183" spans="3:3" x14ac:dyDescent="0.2">
      <c r="C183" s="4"/>
    </row>
    <row r="184" spans="3:3" x14ac:dyDescent="0.2">
      <c r="C184" s="4"/>
    </row>
    <row r="185" spans="3:3" x14ac:dyDescent="0.2">
      <c r="C185" s="4"/>
    </row>
    <row r="186" spans="3:3" x14ac:dyDescent="0.2">
      <c r="C186" s="4"/>
    </row>
    <row r="187" spans="3:3" x14ac:dyDescent="0.2">
      <c r="C187" s="4"/>
    </row>
    <row r="188" spans="3:3" x14ac:dyDescent="0.2">
      <c r="C188" s="4"/>
    </row>
    <row r="189" spans="3:3" x14ac:dyDescent="0.2">
      <c r="C189" s="4"/>
    </row>
    <row r="190" spans="3:3" x14ac:dyDescent="0.2">
      <c r="C190" s="4"/>
    </row>
    <row r="191" spans="3:3" x14ac:dyDescent="0.2">
      <c r="C191" s="4"/>
    </row>
    <row r="192" spans="3:3" x14ac:dyDescent="0.2">
      <c r="C192" s="4"/>
    </row>
    <row r="193" spans="3:3" x14ac:dyDescent="0.2">
      <c r="C193" s="4"/>
    </row>
    <row r="194" spans="3:3" x14ac:dyDescent="0.2">
      <c r="C194" s="4"/>
    </row>
    <row r="195" spans="3:3" x14ac:dyDescent="0.2">
      <c r="C195" s="4"/>
    </row>
    <row r="196" spans="3:3" x14ac:dyDescent="0.2">
      <c r="C196" s="4"/>
    </row>
    <row r="197" spans="3:3" x14ac:dyDescent="0.2">
      <c r="C197" s="4"/>
    </row>
    <row r="198" spans="3:3" x14ac:dyDescent="0.2">
      <c r="C198" s="4"/>
    </row>
    <row r="199" spans="3:3" x14ac:dyDescent="0.2">
      <c r="C199" s="4"/>
    </row>
    <row r="200" spans="3:3" x14ac:dyDescent="0.2">
      <c r="C200" s="4"/>
    </row>
    <row r="201" spans="3:3" x14ac:dyDescent="0.2">
      <c r="C201" s="4"/>
    </row>
    <row r="202" spans="3:3" x14ac:dyDescent="0.2">
      <c r="C202" s="4"/>
    </row>
    <row r="203" spans="3:3" x14ac:dyDescent="0.2">
      <c r="C203" s="4"/>
    </row>
    <row r="204" spans="3:3" x14ac:dyDescent="0.2">
      <c r="C204" s="4"/>
    </row>
    <row r="205" spans="3:3" x14ac:dyDescent="0.2">
      <c r="C205" s="4"/>
    </row>
    <row r="206" spans="3:3" x14ac:dyDescent="0.2">
      <c r="C206" s="4"/>
    </row>
    <row r="207" spans="3:3" x14ac:dyDescent="0.2">
      <c r="C207" s="4"/>
    </row>
    <row r="208" spans="3:3" x14ac:dyDescent="0.2">
      <c r="C208" s="4"/>
    </row>
    <row r="209" spans="3:3" x14ac:dyDescent="0.2">
      <c r="C209" s="4"/>
    </row>
    <row r="210" spans="3:3" x14ac:dyDescent="0.2">
      <c r="C210" s="4"/>
    </row>
    <row r="211" spans="3:3" x14ac:dyDescent="0.2">
      <c r="C211" s="4"/>
    </row>
    <row r="212" spans="3:3" x14ac:dyDescent="0.2">
      <c r="C212" s="4"/>
    </row>
    <row r="213" spans="3:3" x14ac:dyDescent="0.2">
      <c r="C213" s="4"/>
    </row>
    <row r="214" spans="3:3" x14ac:dyDescent="0.2">
      <c r="C214" s="4"/>
    </row>
    <row r="215" spans="3:3" x14ac:dyDescent="0.2">
      <c r="C215" s="4"/>
    </row>
    <row r="216" spans="3:3" x14ac:dyDescent="0.2">
      <c r="C216" s="4"/>
    </row>
    <row r="217" spans="3:3" x14ac:dyDescent="0.2">
      <c r="C217" s="4"/>
    </row>
    <row r="218" spans="3:3" x14ac:dyDescent="0.2">
      <c r="C218" s="4"/>
    </row>
    <row r="219" spans="3:3" x14ac:dyDescent="0.2">
      <c r="C219" s="4"/>
    </row>
    <row r="220" spans="3:3" x14ac:dyDescent="0.2">
      <c r="C220" s="4"/>
    </row>
    <row r="221" spans="3:3" x14ac:dyDescent="0.2">
      <c r="C221" s="4"/>
    </row>
    <row r="222" spans="3:3" x14ac:dyDescent="0.2">
      <c r="C222" s="4"/>
    </row>
    <row r="223" spans="3:3" x14ac:dyDescent="0.2">
      <c r="C223" s="4"/>
    </row>
    <row r="224" spans="3:3" x14ac:dyDescent="0.2">
      <c r="C224" s="4"/>
    </row>
    <row r="225" spans="3:3" x14ac:dyDescent="0.2">
      <c r="C225" s="4"/>
    </row>
    <row r="226" spans="3:3" x14ac:dyDescent="0.2">
      <c r="C226" s="4"/>
    </row>
    <row r="227" spans="3:3" x14ac:dyDescent="0.2">
      <c r="C227" s="4"/>
    </row>
    <row r="228" spans="3:3" x14ac:dyDescent="0.2">
      <c r="C228" s="4"/>
    </row>
    <row r="229" spans="3:3" x14ac:dyDescent="0.2">
      <c r="C229" s="4"/>
    </row>
    <row r="230" spans="3:3" x14ac:dyDescent="0.2">
      <c r="C230" s="4"/>
    </row>
    <row r="231" spans="3:3" x14ac:dyDescent="0.2">
      <c r="C231" s="4"/>
    </row>
    <row r="232" spans="3:3" x14ac:dyDescent="0.2">
      <c r="C232" s="4"/>
    </row>
    <row r="233" spans="3:3" x14ac:dyDescent="0.2">
      <c r="C233" s="4"/>
    </row>
    <row r="234" spans="3:3" x14ac:dyDescent="0.2">
      <c r="C234" s="4"/>
    </row>
    <row r="235" spans="3:3" x14ac:dyDescent="0.2">
      <c r="C235" s="4"/>
    </row>
    <row r="236" spans="3:3" x14ac:dyDescent="0.2">
      <c r="C236" s="4"/>
    </row>
    <row r="237" spans="3:3" x14ac:dyDescent="0.2">
      <c r="C237" s="4"/>
    </row>
    <row r="238" spans="3:3" x14ac:dyDescent="0.2">
      <c r="C238" s="4"/>
    </row>
    <row r="239" spans="3:3" x14ac:dyDescent="0.2">
      <c r="C239" s="4"/>
    </row>
    <row r="240" spans="3:3" x14ac:dyDescent="0.2">
      <c r="C240" s="4"/>
    </row>
    <row r="241" spans="3:3" x14ac:dyDescent="0.2">
      <c r="C241" s="4"/>
    </row>
    <row r="242" spans="3:3" x14ac:dyDescent="0.2">
      <c r="C242" s="4"/>
    </row>
    <row r="243" spans="3:3" x14ac:dyDescent="0.2">
      <c r="C243" s="4"/>
    </row>
    <row r="244" spans="3:3" x14ac:dyDescent="0.2">
      <c r="C244" s="4"/>
    </row>
    <row r="245" spans="3:3" x14ac:dyDescent="0.2">
      <c r="C245" s="4"/>
    </row>
    <row r="246" spans="3:3" x14ac:dyDescent="0.2">
      <c r="C246" s="4"/>
    </row>
    <row r="247" spans="3:3" x14ac:dyDescent="0.2">
      <c r="C247" s="4"/>
    </row>
    <row r="248" spans="3:3" x14ac:dyDescent="0.2">
      <c r="C248" s="4"/>
    </row>
    <row r="249" spans="3:3" x14ac:dyDescent="0.2">
      <c r="C249" s="4"/>
    </row>
    <row r="250" spans="3:3" x14ac:dyDescent="0.2">
      <c r="C250" s="4"/>
    </row>
    <row r="251" spans="3:3" x14ac:dyDescent="0.2">
      <c r="C251" s="4"/>
    </row>
    <row r="252" spans="3:3" x14ac:dyDescent="0.2">
      <c r="C252" s="4"/>
    </row>
    <row r="253" spans="3:3" x14ac:dyDescent="0.2">
      <c r="C253" s="4"/>
    </row>
    <row r="254" spans="3:3" x14ac:dyDescent="0.2">
      <c r="C254" s="4"/>
    </row>
    <row r="255" spans="3:3" x14ac:dyDescent="0.2">
      <c r="C255" s="4"/>
    </row>
    <row r="256" spans="3:3" x14ac:dyDescent="0.2">
      <c r="C256" s="4"/>
    </row>
    <row r="257" spans="3:3" x14ac:dyDescent="0.2">
      <c r="C257" s="4"/>
    </row>
    <row r="258" spans="3:3" x14ac:dyDescent="0.2">
      <c r="C258" s="4"/>
    </row>
    <row r="259" spans="3:3" x14ac:dyDescent="0.2">
      <c r="C259" s="4"/>
    </row>
    <row r="260" spans="3:3" x14ac:dyDescent="0.2">
      <c r="C260" s="4"/>
    </row>
    <row r="261" spans="3:3" x14ac:dyDescent="0.2">
      <c r="C261" s="4"/>
    </row>
    <row r="262" spans="3:3" x14ac:dyDescent="0.2">
      <c r="C262" s="4"/>
    </row>
    <row r="263" spans="3:3" x14ac:dyDescent="0.2">
      <c r="C263" s="4"/>
    </row>
    <row r="264" spans="3:3" x14ac:dyDescent="0.2">
      <c r="C264" s="4"/>
    </row>
  </sheetData>
  <mergeCells count="3">
    <mergeCell ref="C12:E12"/>
    <mergeCell ref="G12:I12"/>
    <mergeCell ref="K12:O12"/>
  </mergeCells>
  <pageMargins left="0.7" right="0.7" top="0.75" bottom="0.75" header="0.3" footer="0.3"/>
  <pageSetup scale="45" fitToHeight="0" orientation="landscape" r:id="rId1"/>
  <ignoredErrors>
    <ignoredError sqref="L17 L18:L32 L33:L51 L52:L69 L70:L7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52"/>
  <sheetViews>
    <sheetView workbookViewId="0"/>
  </sheetViews>
  <sheetFormatPr defaultRowHeight="12.75" x14ac:dyDescent="0.2"/>
  <cols>
    <col min="1" max="1" width="3.28515625" customWidth="1"/>
    <col min="2" max="2" width="33" customWidth="1"/>
    <col min="3" max="3" width="13.140625" customWidth="1"/>
    <col min="5" max="5" width="4.28515625" customWidth="1"/>
    <col min="6" max="6" width="28.7109375" customWidth="1"/>
    <col min="7" max="7" width="11.28515625" bestFit="1" customWidth="1"/>
    <col min="8" max="8" width="11.42578125" customWidth="1"/>
  </cols>
  <sheetData>
    <row r="1" spans="1:14" x14ac:dyDescent="0.2">
      <c r="A1" s="1" t="s">
        <v>40</v>
      </c>
      <c r="E1" s="136" t="s">
        <v>108</v>
      </c>
      <c r="F1" s="136"/>
      <c r="G1" s="136"/>
      <c r="H1" s="136"/>
      <c r="I1" s="136"/>
      <c r="J1" s="136"/>
      <c r="K1" s="136"/>
      <c r="L1" s="136"/>
      <c r="M1" s="136"/>
      <c r="N1" s="136"/>
    </row>
    <row r="2" spans="1:14" ht="28.5" customHeight="1" x14ac:dyDescent="0.2">
      <c r="A2" s="1" t="s">
        <v>41</v>
      </c>
      <c r="E2" s="136"/>
      <c r="F2" s="136"/>
      <c r="G2" s="136"/>
      <c r="H2" s="136"/>
      <c r="I2" s="136"/>
      <c r="J2" s="136"/>
      <c r="K2" s="136"/>
      <c r="L2" s="136"/>
      <c r="M2" s="136"/>
      <c r="N2" s="136"/>
    </row>
    <row r="4" spans="1:14" x14ac:dyDescent="0.2">
      <c r="A4" s="73" t="s">
        <v>42</v>
      </c>
      <c r="E4" s="73" t="s">
        <v>43</v>
      </c>
    </row>
    <row r="5" spans="1:14" x14ac:dyDescent="0.2">
      <c r="A5" s="4" t="s">
        <v>33</v>
      </c>
      <c r="C5" s="93" t="str">
        <f>'1-New ARO Terms'!C6</f>
        <v>RICHMOND</v>
      </c>
      <c r="G5" s="94"/>
    </row>
    <row r="6" spans="1:14" x14ac:dyDescent="0.2">
      <c r="A6" s="4" t="s">
        <v>30</v>
      </c>
      <c r="C6" s="98">
        <f>'1-New ARO Terms'!C7</f>
        <v>41275</v>
      </c>
      <c r="E6" s="4" t="s">
        <v>44</v>
      </c>
      <c r="G6" s="81">
        <v>43100</v>
      </c>
    </row>
    <row r="7" spans="1:14" x14ac:dyDescent="0.2">
      <c r="A7" s="4" t="s">
        <v>95</v>
      </c>
      <c r="C7" s="98">
        <f>'1-New ARO Terms'!C8</f>
        <v>43100</v>
      </c>
      <c r="E7" s="4" t="s">
        <v>101</v>
      </c>
      <c r="G7" s="81">
        <v>44926</v>
      </c>
    </row>
    <row r="8" spans="1:14" x14ac:dyDescent="0.2">
      <c r="A8" s="4" t="s">
        <v>102</v>
      </c>
      <c r="C8" s="99">
        <f>'1-New ARO Terms'!C9</f>
        <v>60</v>
      </c>
      <c r="E8" s="4" t="s">
        <v>102</v>
      </c>
      <c r="G8" s="72">
        <f>(DAYS360(G6,G7,FALSE))/30</f>
        <v>60</v>
      </c>
    </row>
    <row r="9" spans="1:14" x14ac:dyDescent="0.2">
      <c r="A9" s="80"/>
      <c r="B9" s="65"/>
      <c r="C9" s="93"/>
      <c r="E9" s="4"/>
      <c r="G9" s="72"/>
    </row>
    <row r="10" spans="1:14" x14ac:dyDescent="0.2">
      <c r="A10" s="4" t="str">
        <f>"Estimated Cost at"&amp;" "&amp;TEXT(C6,"m/dd/yyyy")</f>
        <v>Estimated Cost at 1/01/2013</v>
      </c>
      <c r="C10" s="97">
        <f>'1-New ARO Terms'!C11</f>
        <v>100000</v>
      </c>
      <c r="E10" s="4" t="str">
        <f>"Estimated Cost at"&amp;" "&amp;TEXT(G6,"m/dd/yyyy")</f>
        <v>Estimated Cost at 12/31/2017</v>
      </c>
      <c r="G10" s="95">
        <v>150000</v>
      </c>
    </row>
    <row r="11" spans="1:14" x14ac:dyDescent="0.2">
      <c r="A11" s="4" t="s">
        <v>103</v>
      </c>
      <c r="C11" s="96">
        <f>'1-New ARO Terms'!C12</f>
        <v>0.03</v>
      </c>
      <c r="E11" s="4" t="s">
        <v>103</v>
      </c>
      <c r="G11" s="82">
        <v>0.03</v>
      </c>
    </row>
    <row r="12" spans="1:14" x14ac:dyDescent="0.2">
      <c r="A12" s="4" t="str">
        <f>"Estimated Cost at"&amp;" "&amp;TEXT(C7,"m/dd/yyyy")</f>
        <v>Estimated Cost at 12/31/2017</v>
      </c>
      <c r="C12" s="97">
        <f>'1-New ARO Terms'!C13</f>
        <v>115927.40742999998</v>
      </c>
      <c r="E12" s="4" t="str">
        <f>"Estimated Cost at"&amp;" "&amp;TEXT(G7,"m/dd/yyyy")</f>
        <v>Estimated Cost at 12/31/2022</v>
      </c>
      <c r="G12" s="74">
        <f>-FV(G11,G8/12,,G10,0)</f>
        <v>173891.11114499997</v>
      </c>
    </row>
    <row r="13" spans="1:14" x14ac:dyDescent="0.2">
      <c r="C13" s="93"/>
    </row>
    <row r="14" spans="1:14" x14ac:dyDescent="0.2">
      <c r="A14" s="4" t="s">
        <v>104</v>
      </c>
      <c r="C14" s="98">
        <f>'1-New ARO Terms'!C15</f>
        <v>41275</v>
      </c>
      <c r="E14" s="4" t="s">
        <v>49</v>
      </c>
      <c r="G14" s="100">
        <f>G12-C12</f>
        <v>57963.703714999996</v>
      </c>
    </row>
    <row r="15" spans="1:14" x14ac:dyDescent="0.2">
      <c r="A15" s="80" t="s">
        <v>107</v>
      </c>
      <c r="C15" s="122">
        <f>'1-New ARO Terms'!C16</f>
        <v>3.7499999999999999E-2</v>
      </c>
      <c r="E15" s="4" t="s">
        <v>46</v>
      </c>
      <c r="G15" s="125" t="str">
        <f>IF(ABS(G14)&gt;=50000,"YES","NO")</f>
        <v>YES</v>
      </c>
      <c r="H15" t="str">
        <f>IF(G14&gt;0,"INCREASE","DECREASE")</f>
        <v>INCREASE</v>
      </c>
    </row>
    <row r="16" spans="1:14" x14ac:dyDescent="0.2">
      <c r="A16" s="4" t="s">
        <v>105</v>
      </c>
      <c r="C16" s="122">
        <f>'1-New ARO Terms'!C17</f>
        <v>1.2500000000000001E-2</v>
      </c>
      <c r="E16" s="65"/>
      <c r="F16" s="65"/>
      <c r="G16" s="94"/>
    </row>
    <row r="17" spans="1:15" x14ac:dyDescent="0.2">
      <c r="A17" t="str">
        <f>"Discount Rate at"&amp;" "&amp;TEXT(C14,"mm/dd/yyyy")</f>
        <v>Discount Rate at 01/01/2013</v>
      </c>
      <c r="C17" s="122">
        <f>'1-New ARO Terms'!C18</f>
        <v>0.05</v>
      </c>
      <c r="E17" s="4" t="s">
        <v>104</v>
      </c>
      <c r="G17" s="119">
        <f>G6</f>
        <v>43100</v>
      </c>
    </row>
    <row r="18" spans="1:15" x14ac:dyDescent="0.2">
      <c r="C18" s="94"/>
      <c r="E18" s="80" t="s">
        <v>107</v>
      </c>
      <c r="G18" s="124">
        <v>4.4999999999999998E-2</v>
      </c>
    </row>
    <row r="19" spans="1:15" x14ac:dyDescent="0.2">
      <c r="E19" s="4" t="s">
        <v>105</v>
      </c>
      <c r="G19" s="124">
        <v>1.4999999999999999E-2</v>
      </c>
    </row>
    <row r="20" spans="1:15" x14ac:dyDescent="0.2">
      <c r="E20" t="str">
        <f>"Discount Rate at"&amp;" "&amp;TEXT(G17,"mm/dd/yyyy")</f>
        <v>Discount Rate at 12/31/2017</v>
      </c>
      <c r="G20" s="123">
        <f>G18+G19</f>
        <v>0.06</v>
      </c>
    </row>
    <row r="22" spans="1:15" x14ac:dyDescent="0.2">
      <c r="A22" s="1" t="s">
        <v>34</v>
      </c>
      <c r="C22" s="94"/>
    </row>
    <row r="23" spans="1:15" x14ac:dyDescent="0.2">
      <c r="A23" s="4">
        <v>1</v>
      </c>
      <c r="B23" s="4" t="s">
        <v>91</v>
      </c>
      <c r="C23" s="94"/>
    </row>
    <row r="24" spans="1:15" x14ac:dyDescent="0.2">
      <c r="A24" s="4"/>
      <c r="B24" s="4" t="s">
        <v>39</v>
      </c>
      <c r="C24" s="94"/>
    </row>
    <row r="25" spans="1:15" x14ac:dyDescent="0.2">
      <c r="A25" s="4">
        <v>2</v>
      </c>
      <c r="B25" s="4" t="s">
        <v>38</v>
      </c>
    </row>
    <row r="26" spans="1:15" x14ac:dyDescent="0.2">
      <c r="B26" s="4" t="s">
        <v>37</v>
      </c>
    </row>
    <row r="27" spans="1:15" x14ac:dyDescent="0.2">
      <c r="B27" s="4" t="s">
        <v>83</v>
      </c>
    </row>
    <row r="28" spans="1:15" x14ac:dyDescent="0.2">
      <c r="B28" s="110" t="s">
        <v>93</v>
      </c>
      <c r="C28" s="110"/>
      <c r="D28" s="110"/>
      <c r="E28" s="110"/>
      <c r="F28" s="110"/>
      <c r="G28" s="110"/>
      <c r="H28" s="110"/>
      <c r="I28" s="110"/>
      <c r="J28" s="110"/>
      <c r="K28" s="110"/>
      <c r="L28" s="110"/>
      <c r="M28" s="110"/>
      <c r="N28" s="110"/>
      <c r="O28" s="110"/>
    </row>
    <row r="29" spans="1:15" x14ac:dyDescent="0.2">
      <c r="A29">
        <v>3</v>
      </c>
      <c r="B29" s="4" t="s">
        <v>64</v>
      </c>
    </row>
    <row r="30" spans="1:15" x14ac:dyDescent="0.2">
      <c r="B30" s="106" t="s">
        <v>48</v>
      </c>
    </row>
    <row r="31" spans="1:15" x14ac:dyDescent="0.2">
      <c r="B31" s="101" t="s">
        <v>51</v>
      </c>
    </row>
    <row r="32" spans="1:15" x14ac:dyDescent="0.2">
      <c r="B32" s="101" t="s">
        <v>112</v>
      </c>
    </row>
    <row r="33" spans="2:7" x14ac:dyDescent="0.2">
      <c r="B33" s="101" t="s">
        <v>50</v>
      </c>
    </row>
    <row r="35" spans="2:7" x14ac:dyDescent="0.2">
      <c r="B35" s="106" t="s">
        <v>47</v>
      </c>
    </row>
    <row r="36" spans="2:7" x14ac:dyDescent="0.2">
      <c r="B36" s="101" t="s">
        <v>61</v>
      </c>
    </row>
    <row r="37" spans="2:7" x14ac:dyDescent="0.2">
      <c r="B37" s="101" t="s">
        <v>62</v>
      </c>
    </row>
    <row r="38" spans="2:7" ht="18.75" customHeight="1" x14ac:dyDescent="0.2">
      <c r="B38" s="103" t="s">
        <v>59</v>
      </c>
      <c r="C38" s="105">
        <f>IF(H15="INCREASE",'2a-Renewal Calc'!I15,0)</f>
        <v>-42972.678325646171</v>
      </c>
      <c r="E38" s="73" t="s">
        <v>94</v>
      </c>
    </row>
    <row r="39" spans="2:7" x14ac:dyDescent="0.2">
      <c r="B39" s="108" t="s">
        <v>66</v>
      </c>
      <c r="C39" s="105">
        <f>-C38</f>
        <v>42972.678325646171</v>
      </c>
      <c r="E39" s="108" t="s">
        <v>67</v>
      </c>
      <c r="F39" s="108" t="s">
        <v>68</v>
      </c>
      <c r="G39" s="104">
        <f>C39+C49</f>
        <v>17376.548325646123</v>
      </c>
    </row>
    <row r="40" spans="2:7" x14ac:dyDescent="0.2">
      <c r="E40" s="108" t="s">
        <v>69</v>
      </c>
      <c r="F40" s="108" t="s">
        <v>70</v>
      </c>
      <c r="G40" s="104">
        <f>C38+C43</f>
        <v>-17376.548325646123</v>
      </c>
    </row>
    <row r="41" spans="2:7" x14ac:dyDescent="0.2">
      <c r="B41" s="101" t="s">
        <v>54</v>
      </c>
      <c r="C41" s="35">
        <f>'2b-Renewal Calc-INCREASE'!I11</f>
        <v>-90331.260754927411</v>
      </c>
      <c r="E41" s="108" t="s">
        <v>69</v>
      </c>
      <c r="F41" s="108" t="s">
        <v>71</v>
      </c>
      <c r="G41" s="104">
        <f>C50</f>
        <v>0</v>
      </c>
    </row>
    <row r="42" spans="2:7" x14ac:dyDescent="0.2">
      <c r="B42" s="4" t="s">
        <v>53</v>
      </c>
      <c r="C42" s="102">
        <f>IF(H15="INCREASE",'1a-New ARO Create'!I75,0)</f>
        <v>-115927.39075492746</v>
      </c>
    </row>
    <row r="43" spans="2:7" x14ac:dyDescent="0.2">
      <c r="B43" s="103" t="s">
        <v>58</v>
      </c>
      <c r="C43" s="104">
        <f>C41-C42</f>
        <v>25596.130000000048</v>
      </c>
    </row>
    <row r="45" spans="2:7" x14ac:dyDescent="0.2">
      <c r="B45" s="4" t="s">
        <v>52</v>
      </c>
      <c r="C45" s="35">
        <f>'1a-New ARO Create'!O75</f>
        <v>0</v>
      </c>
    </row>
    <row r="46" spans="2:7" x14ac:dyDescent="0.2">
      <c r="B46" s="80" t="s">
        <v>65</v>
      </c>
      <c r="C46" s="109">
        <f>C39</f>
        <v>42972.678325646171</v>
      </c>
    </row>
    <row r="47" spans="2:7" x14ac:dyDescent="0.2">
      <c r="B47" s="4" t="s">
        <v>55</v>
      </c>
      <c r="C47" s="59">
        <f>C45+C46</f>
        <v>42972.678325646171</v>
      </c>
    </row>
    <row r="49" spans="2:3" x14ac:dyDescent="0.2">
      <c r="B49" s="103" t="s">
        <v>56</v>
      </c>
      <c r="C49" s="105">
        <f>IF(C47&gt;=C43,-C43,-C47)</f>
        <v>-25596.130000000048</v>
      </c>
    </row>
    <row r="50" spans="2:3" x14ac:dyDescent="0.2">
      <c r="B50" s="103" t="s">
        <v>57</v>
      </c>
      <c r="C50" s="104">
        <f>-C49-C43</f>
        <v>0</v>
      </c>
    </row>
    <row r="52" spans="2:3" x14ac:dyDescent="0.2">
      <c r="B52" s="107" t="s">
        <v>63</v>
      </c>
    </row>
  </sheetData>
  <mergeCells count="1">
    <mergeCell ref="E1:N2"/>
  </mergeCells>
  <pageMargins left="0.7" right="0.7" top="0.75" bottom="0.75" header="0.3" footer="0.3"/>
  <pageSetup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264"/>
  <sheetViews>
    <sheetView workbookViewId="0">
      <pane xSplit="2" ySplit="14" topLeftCell="C15" activePane="bottomRight" state="frozen"/>
      <selection pane="topRight" activeCell="C1" sqref="C1"/>
      <selection pane="bottomLeft" activeCell="A11" sqref="A11"/>
      <selection pane="bottomRight" activeCell="C15" sqref="C15"/>
    </sheetView>
  </sheetViews>
  <sheetFormatPr defaultRowHeight="12.75" x14ac:dyDescent="0.2"/>
  <cols>
    <col min="1" max="1" width="26.85546875" customWidth="1"/>
    <col min="2" max="2" width="12.7109375" customWidth="1"/>
    <col min="3" max="3" width="16.5703125" bestFit="1" customWidth="1"/>
    <col min="4" max="4" width="13.140625" bestFit="1" customWidth="1"/>
    <col min="5" max="5" width="17.85546875" customWidth="1"/>
    <col min="6" max="6" width="4.7109375" customWidth="1"/>
    <col min="7" max="7" width="12.7109375" style="2" customWidth="1"/>
    <col min="8" max="8" width="15.42578125" style="2" customWidth="1"/>
    <col min="9" max="9" width="12.7109375" style="3" customWidth="1"/>
    <col min="10" max="10" width="2.7109375" customWidth="1"/>
    <col min="11" max="11" width="15.7109375" style="1" customWidth="1"/>
    <col min="12" max="13" width="15.7109375" customWidth="1"/>
    <col min="14" max="15" width="15.7109375" style="1" customWidth="1"/>
    <col min="16" max="16" width="6.7109375" customWidth="1"/>
    <col min="17" max="18" width="12.7109375" style="2" customWidth="1"/>
    <col min="20" max="21" width="12.7109375" customWidth="1"/>
  </cols>
  <sheetData>
    <row r="1" spans="1:21" x14ac:dyDescent="0.2">
      <c r="A1" s="1" t="str">
        <f>'2-Renewal Terms'!A1</f>
        <v>EXAMPLE 2</v>
      </c>
      <c r="E1" s="136" t="s">
        <v>108</v>
      </c>
      <c r="F1" s="136"/>
      <c r="G1" s="136"/>
      <c r="H1" s="136"/>
      <c r="I1" s="136"/>
      <c r="J1" s="136"/>
      <c r="K1" s="136"/>
      <c r="L1" s="136"/>
      <c r="M1" s="136"/>
      <c r="N1" s="136"/>
    </row>
    <row r="2" spans="1:21" x14ac:dyDescent="0.2">
      <c r="A2" s="1" t="str">
        <f>'2-Renewal Terms'!A2</f>
        <v>LEASE WAS RENEWED</v>
      </c>
      <c r="E2" s="136"/>
      <c r="F2" s="136"/>
      <c r="G2" s="136"/>
      <c r="H2" s="136"/>
      <c r="I2" s="136"/>
      <c r="J2" s="136"/>
      <c r="K2" s="136"/>
      <c r="L2" s="136"/>
      <c r="M2" s="136"/>
      <c r="N2" s="136"/>
    </row>
    <row r="4" spans="1:21" x14ac:dyDescent="0.2">
      <c r="A4" s="4" t="s">
        <v>60</v>
      </c>
      <c r="B4" s="13" t="str">
        <f>'2-Renewal Terms'!C5</f>
        <v>RICHMOND</v>
      </c>
    </row>
    <row r="5" spans="1:21" x14ac:dyDescent="0.2">
      <c r="A5" s="4" t="s">
        <v>44</v>
      </c>
      <c r="B5" s="75">
        <f>'2-Renewal Terms'!G6</f>
        <v>43100</v>
      </c>
    </row>
    <row r="6" spans="1:21" x14ac:dyDescent="0.2">
      <c r="A6" s="118" t="s">
        <v>101</v>
      </c>
      <c r="B6" s="75">
        <f>'2-Renewal Terms'!G7</f>
        <v>44926</v>
      </c>
    </row>
    <row r="7" spans="1:21" x14ac:dyDescent="0.2">
      <c r="A7" s="4" t="s">
        <v>102</v>
      </c>
      <c r="B7" s="65">
        <f>'2-Renewal Terms'!G8</f>
        <v>60</v>
      </c>
      <c r="D7" s="5"/>
    </row>
    <row r="8" spans="1:21" x14ac:dyDescent="0.2">
      <c r="A8" s="4" t="s">
        <v>109</v>
      </c>
      <c r="B8">
        <f>10*12</f>
        <v>120</v>
      </c>
      <c r="D8" s="5"/>
    </row>
    <row r="9" spans="1:21" x14ac:dyDescent="0.2">
      <c r="A9" s="4" t="s">
        <v>110</v>
      </c>
      <c r="B9">
        <f>MIN(B7:B8)</f>
        <v>60</v>
      </c>
      <c r="D9" s="5"/>
    </row>
    <row r="10" spans="1:21" ht="13.5" thickBot="1" x14ac:dyDescent="0.25">
      <c r="A10" s="6"/>
      <c r="B10" s="29" t="s">
        <v>1</v>
      </c>
      <c r="C10" s="77">
        <f>IF('2-Renewal Terms'!G15="NO",0,IF('2-Renewal Terms'!H15="INCREASE",'2-Renewal Terms'!G20,'2-Renewal Terms'!C17))</f>
        <v>0.06</v>
      </c>
      <c r="D10" s="5"/>
    </row>
    <row r="11" spans="1:21" ht="13.5" thickBot="1" x14ac:dyDescent="0.25">
      <c r="B11" s="1" t="s">
        <v>2</v>
      </c>
      <c r="C11" s="7">
        <f>C10/12</f>
        <v>5.0000000000000001E-3</v>
      </c>
      <c r="D11" s="7">
        <f>C11</f>
        <v>5.0000000000000001E-3</v>
      </c>
      <c r="E11" s="1"/>
      <c r="F11" s="1"/>
      <c r="G11" s="8"/>
      <c r="Q11" s="9" t="s">
        <v>3</v>
      </c>
      <c r="R11" s="10"/>
      <c r="T11" s="9" t="s">
        <v>4</v>
      </c>
      <c r="U11" s="11"/>
    </row>
    <row r="12" spans="1:21" ht="13.5" thickBot="1" x14ac:dyDescent="0.25">
      <c r="C12" s="135" t="s">
        <v>84</v>
      </c>
      <c r="D12" s="135"/>
      <c r="E12" s="135"/>
      <c r="G12" s="135" t="s">
        <v>85</v>
      </c>
      <c r="H12" s="135"/>
      <c r="I12" s="135"/>
      <c r="K12" s="135" t="s">
        <v>86</v>
      </c>
      <c r="L12" s="135"/>
      <c r="M12" s="135"/>
      <c r="N12" s="135"/>
      <c r="O12" s="135"/>
    </row>
    <row r="13" spans="1:21" x14ac:dyDescent="0.2">
      <c r="A13" s="13" t="s">
        <v>5</v>
      </c>
      <c r="B13" s="13" t="s">
        <v>6</v>
      </c>
      <c r="C13" s="12" t="s">
        <v>7</v>
      </c>
      <c r="D13" s="14" t="s">
        <v>8</v>
      </c>
      <c r="E13" s="15" t="s">
        <v>9</v>
      </c>
      <c r="G13" s="3" t="s">
        <v>10</v>
      </c>
      <c r="H13" s="3" t="s">
        <v>11</v>
      </c>
      <c r="I13" s="3" t="s">
        <v>12</v>
      </c>
      <c r="K13" s="3" t="s">
        <v>13</v>
      </c>
      <c r="L13" s="3" t="s">
        <v>14</v>
      </c>
      <c r="M13" s="3" t="s">
        <v>15</v>
      </c>
      <c r="N13" s="3" t="s">
        <v>16</v>
      </c>
      <c r="O13" s="3" t="s">
        <v>17</v>
      </c>
      <c r="Q13" s="3" t="s">
        <v>11</v>
      </c>
      <c r="R13" s="3" t="s">
        <v>18</v>
      </c>
      <c r="T13" s="3" t="s">
        <v>19</v>
      </c>
      <c r="U13" s="3" t="s">
        <v>20</v>
      </c>
    </row>
    <row r="14" spans="1:21" x14ac:dyDescent="0.2">
      <c r="A14" s="16"/>
      <c r="B14" s="16"/>
      <c r="C14" s="17"/>
      <c r="D14" s="18" t="s">
        <v>21</v>
      </c>
      <c r="E14" s="19" t="s">
        <v>22</v>
      </c>
      <c r="Q14" s="12" t="s">
        <v>23</v>
      </c>
      <c r="R14" s="12" t="s">
        <v>24</v>
      </c>
      <c r="T14" s="12" t="s">
        <v>23</v>
      </c>
      <c r="U14" s="12" t="s">
        <v>19</v>
      </c>
    </row>
    <row r="15" spans="1:21" s="65" customFormat="1" x14ac:dyDescent="0.2">
      <c r="A15" s="63">
        <v>0</v>
      </c>
      <c r="B15" s="76">
        <f>B5</f>
        <v>43100</v>
      </c>
      <c r="C15" s="22"/>
      <c r="D15" s="64">
        <f t="shared" ref="D15:D74" si="0">(1+D$11)^-A15</f>
        <v>1</v>
      </c>
      <c r="E15" s="67"/>
      <c r="F15" s="66"/>
      <c r="G15" s="31">
        <v>0</v>
      </c>
      <c r="H15" s="32">
        <f>ROUND(G15*C$11,2)</f>
        <v>0</v>
      </c>
      <c r="I15" s="33">
        <f>E75</f>
        <v>-42972.678325646171</v>
      </c>
      <c r="J15" s="66"/>
      <c r="K15" s="71">
        <f>'2-Renewal Terms'!C39+'2-Renewal Terms'!C49</f>
        <v>17376.548325646123</v>
      </c>
      <c r="L15" s="72">
        <v>0</v>
      </c>
      <c r="M15" s="72">
        <v>0</v>
      </c>
      <c r="N15" s="71">
        <f>M15+L15</f>
        <v>0</v>
      </c>
      <c r="O15" s="71">
        <f t="shared" ref="O15:O75" si="1">K15+N15</f>
        <v>17376.548325646123</v>
      </c>
      <c r="P15" s="66"/>
      <c r="Q15" s="70">
        <f t="shared" ref="Q15:Q75" si="2">H15*-1</f>
        <v>0</v>
      </c>
      <c r="R15" s="70">
        <f t="shared" ref="R15:R75" si="3">-Q15</f>
        <v>0</v>
      </c>
      <c r="S15" s="72"/>
      <c r="T15" s="72">
        <f>-M15</f>
        <v>0</v>
      </c>
      <c r="U15" s="72">
        <f>-M15</f>
        <v>0</v>
      </c>
    </row>
    <row r="16" spans="1:21" x14ac:dyDescent="0.2">
      <c r="A16" s="20">
        <f t="shared" ref="A16:A75" si="4">A15+1</f>
        <v>1</v>
      </c>
      <c r="B16" s="21">
        <f>B15+30</f>
        <v>43130</v>
      </c>
      <c r="C16" s="22">
        <v>0</v>
      </c>
      <c r="D16" s="30">
        <f t="shared" si="0"/>
        <v>0.99502487562189068</v>
      </c>
      <c r="E16" s="23">
        <f t="shared" ref="E16:E74" si="5">C16*D16</f>
        <v>0</v>
      </c>
      <c r="G16" s="31">
        <f>I15</f>
        <v>-42972.678325646171</v>
      </c>
      <c r="H16" s="32">
        <f t="shared" ref="H16:H75" si="6">ROUND(G16*C$11,2)</f>
        <v>-214.86</v>
      </c>
      <c r="I16" s="33">
        <f t="shared" ref="I16:I75" si="7">G16+H16</f>
        <v>-43187.538325646172</v>
      </c>
      <c r="J16" s="26"/>
      <c r="K16" s="34">
        <f t="shared" ref="K16:K75" si="8">K15</f>
        <v>17376.548325646123</v>
      </c>
      <c r="L16" s="35">
        <f t="shared" ref="L16:L75" si="9">N15</f>
        <v>0</v>
      </c>
      <c r="M16" s="35">
        <f>-K16/B9</f>
        <v>-289.6091387607687</v>
      </c>
      <c r="N16" s="34">
        <f>M16+L16</f>
        <v>-289.6091387607687</v>
      </c>
      <c r="O16" s="34">
        <f t="shared" si="1"/>
        <v>17086.939186885353</v>
      </c>
      <c r="P16" s="26"/>
      <c r="Q16" s="36">
        <f>H16*-1</f>
        <v>214.86</v>
      </c>
      <c r="R16" s="36">
        <f t="shared" si="3"/>
        <v>-214.86</v>
      </c>
      <c r="S16" s="35"/>
      <c r="T16" s="35">
        <f>-M16</f>
        <v>289.6091387607687</v>
      </c>
      <c r="U16" s="35">
        <f>M16</f>
        <v>-289.6091387607687</v>
      </c>
    </row>
    <row r="17" spans="1:21" x14ac:dyDescent="0.2">
      <c r="A17" s="20">
        <f t="shared" si="4"/>
        <v>2</v>
      </c>
      <c r="B17" s="21">
        <f t="shared" ref="B17:B75" si="10">EDATE(B16,1)</f>
        <v>43159</v>
      </c>
      <c r="C17" s="22">
        <v>0</v>
      </c>
      <c r="D17" s="30">
        <f t="shared" si="0"/>
        <v>0.99007450310635903</v>
      </c>
      <c r="E17" s="23">
        <f t="shared" si="5"/>
        <v>0</v>
      </c>
      <c r="G17" s="31">
        <f t="shared" ref="G17:G75" si="11">I16</f>
        <v>-43187.538325646172</v>
      </c>
      <c r="H17" s="32">
        <f t="shared" si="6"/>
        <v>-215.94</v>
      </c>
      <c r="I17" s="33">
        <f t="shared" si="7"/>
        <v>-43403.478325646174</v>
      </c>
      <c r="J17" s="26"/>
      <c r="K17" s="34">
        <f t="shared" si="8"/>
        <v>17376.548325646123</v>
      </c>
      <c r="L17" s="35">
        <f t="shared" si="9"/>
        <v>-289.6091387607687</v>
      </c>
      <c r="M17" s="35">
        <f>M16</f>
        <v>-289.6091387607687</v>
      </c>
      <c r="N17" s="34">
        <f t="shared" ref="N17:N75" si="12">M17+L17</f>
        <v>-579.2182775215374</v>
      </c>
      <c r="O17" s="34">
        <f t="shared" si="1"/>
        <v>16797.330048124586</v>
      </c>
      <c r="P17" s="26"/>
      <c r="Q17" s="36">
        <f t="shared" si="2"/>
        <v>215.94</v>
      </c>
      <c r="R17" s="36">
        <f t="shared" si="3"/>
        <v>-215.94</v>
      </c>
      <c r="S17" s="35"/>
      <c r="T17" s="35">
        <f t="shared" ref="T17:T75" si="13">-M17</f>
        <v>289.6091387607687</v>
      </c>
      <c r="U17" s="35">
        <f t="shared" ref="U17:U75" si="14">M17</f>
        <v>-289.6091387607687</v>
      </c>
    </row>
    <row r="18" spans="1:21" x14ac:dyDescent="0.2">
      <c r="A18" s="20">
        <f t="shared" si="4"/>
        <v>3</v>
      </c>
      <c r="B18" s="21">
        <f t="shared" si="10"/>
        <v>43187</v>
      </c>
      <c r="C18" s="22">
        <v>0</v>
      </c>
      <c r="D18" s="30">
        <f t="shared" si="0"/>
        <v>0.98514875930981005</v>
      </c>
      <c r="E18" s="23">
        <f t="shared" si="5"/>
        <v>0</v>
      </c>
      <c r="G18" s="31">
        <f t="shared" si="11"/>
        <v>-43403.478325646174</v>
      </c>
      <c r="H18" s="32">
        <f t="shared" si="6"/>
        <v>-217.02</v>
      </c>
      <c r="I18" s="33">
        <f t="shared" si="7"/>
        <v>-43620.498325646171</v>
      </c>
      <c r="J18" s="26"/>
      <c r="K18" s="34">
        <f t="shared" si="8"/>
        <v>17376.548325646123</v>
      </c>
      <c r="L18" s="35">
        <f t="shared" si="9"/>
        <v>-579.2182775215374</v>
      </c>
      <c r="M18" s="35">
        <f t="shared" ref="M18:M75" si="15">M17</f>
        <v>-289.6091387607687</v>
      </c>
      <c r="N18" s="34">
        <f t="shared" si="12"/>
        <v>-868.8274162823061</v>
      </c>
      <c r="O18" s="34">
        <f t="shared" si="1"/>
        <v>16507.720909363816</v>
      </c>
      <c r="P18" s="26"/>
      <c r="Q18" s="36">
        <f t="shared" si="2"/>
        <v>217.02</v>
      </c>
      <c r="R18" s="36">
        <f t="shared" si="3"/>
        <v>-217.02</v>
      </c>
      <c r="S18" s="35"/>
      <c r="T18" s="35">
        <f t="shared" si="13"/>
        <v>289.6091387607687</v>
      </c>
      <c r="U18" s="35">
        <f t="shared" si="14"/>
        <v>-289.6091387607687</v>
      </c>
    </row>
    <row r="19" spans="1:21" x14ac:dyDescent="0.2">
      <c r="A19" s="20">
        <f t="shared" si="4"/>
        <v>4</v>
      </c>
      <c r="B19" s="21">
        <f t="shared" si="10"/>
        <v>43218</v>
      </c>
      <c r="C19" s="22">
        <v>0</v>
      </c>
      <c r="D19" s="30">
        <f t="shared" si="0"/>
        <v>0.9802475217013038</v>
      </c>
      <c r="E19" s="23">
        <f t="shared" si="5"/>
        <v>0</v>
      </c>
      <c r="G19" s="31">
        <f t="shared" si="11"/>
        <v>-43620.498325646171</v>
      </c>
      <c r="H19" s="32">
        <f t="shared" si="6"/>
        <v>-218.1</v>
      </c>
      <c r="I19" s="33">
        <f t="shared" si="7"/>
        <v>-43838.59832564617</v>
      </c>
      <c r="J19" s="26"/>
      <c r="K19" s="34">
        <f t="shared" si="8"/>
        <v>17376.548325646123</v>
      </c>
      <c r="L19" s="35">
        <f t="shared" si="9"/>
        <v>-868.8274162823061</v>
      </c>
      <c r="M19" s="35">
        <f t="shared" si="15"/>
        <v>-289.6091387607687</v>
      </c>
      <c r="N19" s="34">
        <f t="shared" si="12"/>
        <v>-1158.4365550430748</v>
      </c>
      <c r="O19" s="34">
        <f t="shared" si="1"/>
        <v>16218.111770603049</v>
      </c>
      <c r="P19" s="26"/>
      <c r="Q19" s="36">
        <f t="shared" si="2"/>
        <v>218.1</v>
      </c>
      <c r="R19" s="36">
        <f t="shared" si="3"/>
        <v>-218.1</v>
      </c>
      <c r="S19" s="35"/>
      <c r="T19" s="35">
        <f t="shared" si="13"/>
        <v>289.6091387607687</v>
      </c>
      <c r="U19" s="35">
        <f t="shared" si="14"/>
        <v>-289.6091387607687</v>
      </c>
    </row>
    <row r="20" spans="1:21" x14ac:dyDescent="0.2">
      <c r="A20" s="20">
        <f t="shared" si="4"/>
        <v>5</v>
      </c>
      <c r="B20" s="21">
        <f t="shared" si="10"/>
        <v>43248</v>
      </c>
      <c r="C20" s="22">
        <v>0</v>
      </c>
      <c r="D20" s="30">
        <f t="shared" si="0"/>
        <v>0.97537066835950648</v>
      </c>
      <c r="E20" s="23">
        <f t="shared" si="5"/>
        <v>0</v>
      </c>
      <c r="G20" s="31">
        <f t="shared" si="11"/>
        <v>-43838.59832564617</v>
      </c>
      <c r="H20" s="32">
        <f t="shared" si="6"/>
        <v>-219.19</v>
      </c>
      <c r="I20" s="33">
        <f t="shared" si="7"/>
        <v>-44057.788325646172</v>
      </c>
      <c r="J20" s="26"/>
      <c r="K20" s="34">
        <f t="shared" si="8"/>
        <v>17376.548325646123</v>
      </c>
      <c r="L20" s="35">
        <f t="shared" si="9"/>
        <v>-1158.4365550430748</v>
      </c>
      <c r="M20" s="35">
        <f t="shared" si="15"/>
        <v>-289.6091387607687</v>
      </c>
      <c r="N20" s="34">
        <f t="shared" si="12"/>
        <v>-1448.0456938038435</v>
      </c>
      <c r="O20" s="34">
        <f t="shared" si="1"/>
        <v>15928.502631842279</v>
      </c>
      <c r="P20" s="26"/>
      <c r="Q20" s="36">
        <f t="shared" si="2"/>
        <v>219.19</v>
      </c>
      <c r="R20" s="36">
        <f t="shared" si="3"/>
        <v>-219.19</v>
      </c>
      <c r="S20" s="35"/>
      <c r="T20" s="35">
        <f t="shared" si="13"/>
        <v>289.6091387607687</v>
      </c>
      <c r="U20" s="35">
        <f t="shared" si="14"/>
        <v>-289.6091387607687</v>
      </c>
    </row>
    <row r="21" spans="1:21" x14ac:dyDescent="0.2">
      <c r="A21" s="20">
        <f t="shared" si="4"/>
        <v>6</v>
      </c>
      <c r="B21" s="21">
        <f t="shared" si="10"/>
        <v>43279</v>
      </c>
      <c r="C21" s="22">
        <v>0</v>
      </c>
      <c r="D21" s="30">
        <f t="shared" si="0"/>
        <v>0.97051807796965839</v>
      </c>
      <c r="E21" s="23">
        <f t="shared" si="5"/>
        <v>0</v>
      </c>
      <c r="G21" s="31">
        <f t="shared" si="11"/>
        <v>-44057.788325646172</v>
      </c>
      <c r="H21" s="32">
        <f t="shared" si="6"/>
        <v>-220.29</v>
      </c>
      <c r="I21" s="33">
        <f t="shared" si="7"/>
        <v>-44278.078325646173</v>
      </c>
      <c r="J21" s="26"/>
      <c r="K21" s="34">
        <f t="shared" si="8"/>
        <v>17376.548325646123</v>
      </c>
      <c r="L21" s="35">
        <f t="shared" si="9"/>
        <v>-1448.0456938038435</v>
      </c>
      <c r="M21" s="35">
        <f t="shared" si="15"/>
        <v>-289.6091387607687</v>
      </c>
      <c r="N21" s="34">
        <f t="shared" si="12"/>
        <v>-1737.6548325646122</v>
      </c>
      <c r="O21" s="34">
        <f t="shared" si="1"/>
        <v>15638.89349308151</v>
      </c>
      <c r="P21" s="26"/>
      <c r="Q21" s="36">
        <f t="shared" si="2"/>
        <v>220.29</v>
      </c>
      <c r="R21" s="36">
        <f t="shared" si="3"/>
        <v>-220.29</v>
      </c>
      <c r="S21" s="35"/>
      <c r="T21" s="35">
        <f t="shared" si="13"/>
        <v>289.6091387607687</v>
      </c>
      <c r="U21" s="35">
        <f t="shared" si="14"/>
        <v>-289.6091387607687</v>
      </c>
    </row>
    <row r="22" spans="1:21" x14ac:dyDescent="0.2">
      <c r="A22" s="20">
        <f t="shared" si="4"/>
        <v>7</v>
      </c>
      <c r="B22" s="21">
        <f t="shared" si="10"/>
        <v>43309</v>
      </c>
      <c r="C22" s="22">
        <v>0</v>
      </c>
      <c r="D22" s="30">
        <f t="shared" si="0"/>
        <v>0.96568962982055562</v>
      </c>
      <c r="E22" s="23">
        <f t="shared" si="5"/>
        <v>0</v>
      </c>
      <c r="G22" s="31">
        <f t="shared" si="11"/>
        <v>-44278.078325646173</v>
      </c>
      <c r="H22" s="32">
        <f t="shared" si="6"/>
        <v>-221.39</v>
      </c>
      <c r="I22" s="33">
        <f t="shared" si="7"/>
        <v>-44499.468325646172</v>
      </c>
      <c r="J22" s="26"/>
      <c r="K22" s="34">
        <f t="shared" si="8"/>
        <v>17376.548325646123</v>
      </c>
      <c r="L22" s="35">
        <f t="shared" si="9"/>
        <v>-1737.6548325646122</v>
      </c>
      <c r="M22" s="35">
        <f t="shared" si="15"/>
        <v>-289.6091387607687</v>
      </c>
      <c r="N22" s="34">
        <f t="shared" si="12"/>
        <v>-2027.2639713253809</v>
      </c>
      <c r="O22" s="34">
        <f t="shared" si="1"/>
        <v>15349.284354320742</v>
      </c>
      <c r="P22" s="26"/>
      <c r="Q22" s="36">
        <f t="shared" si="2"/>
        <v>221.39</v>
      </c>
      <c r="R22" s="36">
        <f t="shared" si="3"/>
        <v>-221.39</v>
      </c>
      <c r="S22" s="35"/>
      <c r="T22" s="35">
        <f t="shared" si="13"/>
        <v>289.6091387607687</v>
      </c>
      <c r="U22" s="35">
        <f t="shared" si="14"/>
        <v>-289.6091387607687</v>
      </c>
    </row>
    <row r="23" spans="1:21" x14ac:dyDescent="0.2">
      <c r="A23" s="20">
        <f t="shared" si="4"/>
        <v>8</v>
      </c>
      <c r="B23" s="21">
        <f t="shared" si="10"/>
        <v>43340</v>
      </c>
      <c r="C23" s="22">
        <v>0</v>
      </c>
      <c r="D23" s="30">
        <f t="shared" si="0"/>
        <v>0.96088520380154796</v>
      </c>
      <c r="E23" s="23">
        <f t="shared" si="5"/>
        <v>0</v>
      </c>
      <c r="G23" s="31">
        <f t="shared" si="11"/>
        <v>-44499.468325646172</v>
      </c>
      <c r="H23" s="32">
        <f t="shared" si="6"/>
        <v>-222.5</v>
      </c>
      <c r="I23" s="33">
        <f t="shared" si="7"/>
        <v>-44721.968325646172</v>
      </c>
      <c r="J23" s="26"/>
      <c r="K23" s="34">
        <f t="shared" si="8"/>
        <v>17376.548325646123</v>
      </c>
      <c r="L23" s="35">
        <f t="shared" si="9"/>
        <v>-2027.2639713253809</v>
      </c>
      <c r="M23" s="35">
        <f t="shared" si="15"/>
        <v>-289.6091387607687</v>
      </c>
      <c r="N23" s="34">
        <f t="shared" si="12"/>
        <v>-2316.8731100861496</v>
      </c>
      <c r="O23" s="34">
        <f t="shared" si="1"/>
        <v>15059.675215559973</v>
      </c>
      <c r="P23" s="26"/>
      <c r="Q23" s="36">
        <f t="shared" si="2"/>
        <v>222.5</v>
      </c>
      <c r="R23" s="36">
        <f t="shared" si="3"/>
        <v>-222.5</v>
      </c>
      <c r="S23" s="35"/>
      <c r="T23" s="35">
        <f t="shared" si="13"/>
        <v>289.6091387607687</v>
      </c>
      <c r="U23" s="35">
        <f t="shared" si="14"/>
        <v>-289.6091387607687</v>
      </c>
    </row>
    <row r="24" spans="1:21" x14ac:dyDescent="0.2">
      <c r="A24" s="20">
        <f t="shared" si="4"/>
        <v>9</v>
      </c>
      <c r="B24" s="21">
        <f t="shared" si="10"/>
        <v>43371</v>
      </c>
      <c r="C24" s="22">
        <v>0</v>
      </c>
      <c r="D24" s="30">
        <f t="shared" si="0"/>
        <v>0.95610468039955032</v>
      </c>
      <c r="E24" s="23">
        <f t="shared" si="5"/>
        <v>0</v>
      </c>
      <c r="G24" s="31">
        <f t="shared" si="11"/>
        <v>-44721.968325646172</v>
      </c>
      <c r="H24" s="32">
        <f t="shared" si="6"/>
        <v>-223.61</v>
      </c>
      <c r="I24" s="33">
        <f t="shared" si="7"/>
        <v>-44945.578325646173</v>
      </c>
      <c r="J24" s="26"/>
      <c r="K24" s="34">
        <f t="shared" si="8"/>
        <v>17376.548325646123</v>
      </c>
      <c r="L24" s="35">
        <f t="shared" si="9"/>
        <v>-2316.8731100861496</v>
      </c>
      <c r="M24" s="35">
        <f t="shared" si="15"/>
        <v>-289.6091387607687</v>
      </c>
      <c r="N24" s="34">
        <f t="shared" si="12"/>
        <v>-2606.4822488469181</v>
      </c>
      <c r="O24" s="34">
        <f t="shared" si="1"/>
        <v>14770.066076799205</v>
      </c>
      <c r="P24" s="26"/>
      <c r="Q24" s="36">
        <f t="shared" si="2"/>
        <v>223.61</v>
      </c>
      <c r="R24" s="36">
        <f t="shared" si="3"/>
        <v>-223.61</v>
      </c>
      <c r="S24" s="35"/>
      <c r="T24" s="35">
        <f t="shared" si="13"/>
        <v>289.6091387607687</v>
      </c>
      <c r="U24" s="35">
        <f t="shared" si="14"/>
        <v>-289.6091387607687</v>
      </c>
    </row>
    <row r="25" spans="1:21" x14ac:dyDescent="0.2">
      <c r="A25" s="20">
        <f t="shared" si="4"/>
        <v>10</v>
      </c>
      <c r="B25" s="21">
        <f t="shared" si="10"/>
        <v>43401</v>
      </c>
      <c r="C25" s="22">
        <v>0</v>
      </c>
      <c r="D25" s="30">
        <f t="shared" si="0"/>
        <v>0.95134794069607009</v>
      </c>
      <c r="E25" s="23">
        <f t="shared" si="5"/>
        <v>0</v>
      </c>
      <c r="G25" s="31">
        <f t="shared" si="11"/>
        <v>-44945.578325646173</v>
      </c>
      <c r="H25" s="32">
        <f t="shared" si="6"/>
        <v>-224.73</v>
      </c>
      <c r="I25" s="33">
        <f t="shared" si="7"/>
        <v>-45170.308325646176</v>
      </c>
      <c r="J25" s="26"/>
      <c r="K25" s="34">
        <f t="shared" si="8"/>
        <v>17376.548325646123</v>
      </c>
      <c r="L25" s="35">
        <f t="shared" si="9"/>
        <v>-2606.4822488469181</v>
      </c>
      <c r="M25" s="35">
        <f t="shared" si="15"/>
        <v>-289.6091387607687</v>
      </c>
      <c r="N25" s="34">
        <f t="shared" si="12"/>
        <v>-2896.0913876076866</v>
      </c>
      <c r="O25" s="34">
        <f t="shared" si="1"/>
        <v>14480.456938038436</v>
      </c>
      <c r="P25" s="26"/>
      <c r="Q25" s="36">
        <f t="shared" si="2"/>
        <v>224.73</v>
      </c>
      <c r="R25" s="36">
        <f t="shared" si="3"/>
        <v>-224.73</v>
      </c>
      <c r="S25" s="35"/>
      <c r="T25" s="35">
        <f t="shared" si="13"/>
        <v>289.6091387607687</v>
      </c>
      <c r="U25" s="35">
        <f t="shared" si="14"/>
        <v>-289.6091387607687</v>
      </c>
    </row>
    <row r="26" spans="1:21" x14ac:dyDescent="0.2">
      <c r="A26" s="20">
        <f t="shared" si="4"/>
        <v>11</v>
      </c>
      <c r="B26" s="21">
        <f t="shared" si="10"/>
        <v>43432</v>
      </c>
      <c r="C26" s="22">
        <v>0</v>
      </c>
      <c r="D26" s="30">
        <f t="shared" si="0"/>
        <v>0.94661486636424896</v>
      </c>
      <c r="E26" s="23">
        <f t="shared" si="5"/>
        <v>0</v>
      </c>
      <c r="G26" s="31">
        <f t="shared" si="11"/>
        <v>-45170.308325646176</v>
      </c>
      <c r="H26" s="32">
        <f t="shared" si="6"/>
        <v>-225.85</v>
      </c>
      <c r="I26" s="33">
        <f t="shared" si="7"/>
        <v>-45396.158325646174</v>
      </c>
      <c r="J26" s="26"/>
      <c r="K26" s="34">
        <f t="shared" si="8"/>
        <v>17376.548325646123</v>
      </c>
      <c r="L26" s="35">
        <f t="shared" si="9"/>
        <v>-2896.0913876076866</v>
      </c>
      <c r="M26" s="35">
        <f t="shared" si="15"/>
        <v>-289.6091387607687</v>
      </c>
      <c r="N26" s="34">
        <f t="shared" si="12"/>
        <v>-3185.700526368455</v>
      </c>
      <c r="O26" s="34">
        <f t="shared" si="1"/>
        <v>14190.847799277668</v>
      </c>
      <c r="P26" s="26"/>
      <c r="Q26" s="36">
        <f t="shared" si="2"/>
        <v>225.85</v>
      </c>
      <c r="R26" s="36">
        <f t="shared" si="3"/>
        <v>-225.85</v>
      </c>
      <c r="S26" s="35"/>
      <c r="T26" s="35">
        <f t="shared" si="13"/>
        <v>289.6091387607687</v>
      </c>
      <c r="U26" s="35">
        <f t="shared" si="14"/>
        <v>-289.6091387607687</v>
      </c>
    </row>
    <row r="27" spans="1:21" x14ac:dyDescent="0.2">
      <c r="A27" s="20">
        <f t="shared" si="4"/>
        <v>12</v>
      </c>
      <c r="B27" s="21">
        <f t="shared" si="10"/>
        <v>43462</v>
      </c>
      <c r="C27" s="22">
        <v>0</v>
      </c>
      <c r="D27" s="30">
        <f t="shared" si="0"/>
        <v>0.94190533966591972</v>
      </c>
      <c r="E27" s="23">
        <f t="shared" si="5"/>
        <v>0</v>
      </c>
      <c r="G27" s="31">
        <f t="shared" si="11"/>
        <v>-45396.158325646174</v>
      </c>
      <c r="H27" s="32">
        <f t="shared" si="6"/>
        <v>-226.98</v>
      </c>
      <c r="I27" s="33">
        <f t="shared" si="7"/>
        <v>-45623.138325646178</v>
      </c>
      <c r="J27" s="26"/>
      <c r="K27" s="34">
        <f t="shared" si="8"/>
        <v>17376.548325646123</v>
      </c>
      <c r="L27" s="35">
        <f t="shared" si="9"/>
        <v>-3185.700526368455</v>
      </c>
      <c r="M27" s="35">
        <f t="shared" si="15"/>
        <v>-289.6091387607687</v>
      </c>
      <c r="N27" s="34">
        <f t="shared" si="12"/>
        <v>-3475.3096651292235</v>
      </c>
      <c r="O27" s="34">
        <f t="shared" si="1"/>
        <v>13901.238660516899</v>
      </c>
      <c r="P27" s="26"/>
      <c r="Q27" s="36">
        <f t="shared" si="2"/>
        <v>226.98</v>
      </c>
      <c r="R27" s="36">
        <f t="shared" si="3"/>
        <v>-226.98</v>
      </c>
      <c r="S27" s="35"/>
      <c r="T27" s="35">
        <f t="shared" si="13"/>
        <v>289.6091387607687</v>
      </c>
      <c r="U27" s="35">
        <f t="shared" si="14"/>
        <v>-289.6091387607687</v>
      </c>
    </row>
    <row r="28" spans="1:21" x14ac:dyDescent="0.2">
      <c r="A28" s="20">
        <f t="shared" si="4"/>
        <v>13</v>
      </c>
      <c r="B28" s="21">
        <f t="shared" si="10"/>
        <v>43493</v>
      </c>
      <c r="C28" s="22">
        <v>0</v>
      </c>
      <c r="D28" s="30">
        <f t="shared" si="0"/>
        <v>0.93721924344867635</v>
      </c>
      <c r="E28" s="23">
        <f t="shared" si="5"/>
        <v>0</v>
      </c>
      <c r="G28" s="31">
        <f t="shared" si="11"/>
        <v>-45623.138325646178</v>
      </c>
      <c r="H28" s="32">
        <f t="shared" si="6"/>
        <v>-228.12</v>
      </c>
      <c r="I28" s="33">
        <f t="shared" si="7"/>
        <v>-45851.25832564618</v>
      </c>
      <c r="J28" s="26"/>
      <c r="K28" s="34">
        <f t="shared" si="8"/>
        <v>17376.548325646123</v>
      </c>
      <c r="L28" s="35">
        <f t="shared" si="9"/>
        <v>-3475.3096651292235</v>
      </c>
      <c r="M28" s="35">
        <f t="shared" si="15"/>
        <v>-289.6091387607687</v>
      </c>
      <c r="N28" s="34">
        <f t="shared" si="12"/>
        <v>-3764.918803889992</v>
      </c>
      <c r="O28" s="34">
        <f t="shared" si="1"/>
        <v>13611.629521756131</v>
      </c>
      <c r="P28" s="26"/>
      <c r="Q28" s="36">
        <f t="shared" si="2"/>
        <v>228.12</v>
      </c>
      <c r="R28" s="36">
        <f t="shared" si="3"/>
        <v>-228.12</v>
      </c>
      <c r="S28" s="35"/>
      <c r="T28" s="35">
        <f t="shared" si="13"/>
        <v>289.6091387607687</v>
      </c>
      <c r="U28" s="35">
        <f t="shared" si="14"/>
        <v>-289.6091387607687</v>
      </c>
    </row>
    <row r="29" spans="1:21" x14ac:dyDescent="0.2">
      <c r="A29" s="20">
        <f t="shared" si="4"/>
        <v>14</v>
      </c>
      <c r="B29" s="21">
        <f t="shared" si="10"/>
        <v>43524</v>
      </c>
      <c r="C29" s="22">
        <v>0</v>
      </c>
      <c r="D29" s="30">
        <f t="shared" si="0"/>
        <v>0.93255646114296176</v>
      </c>
      <c r="E29" s="23">
        <f t="shared" si="5"/>
        <v>0</v>
      </c>
      <c r="G29" s="31">
        <f t="shared" si="11"/>
        <v>-45851.25832564618</v>
      </c>
      <c r="H29" s="32">
        <f t="shared" si="6"/>
        <v>-229.26</v>
      </c>
      <c r="I29" s="33">
        <f t="shared" si="7"/>
        <v>-46080.518325646182</v>
      </c>
      <c r="J29" s="26"/>
      <c r="K29" s="34">
        <f t="shared" si="8"/>
        <v>17376.548325646123</v>
      </c>
      <c r="L29" s="35">
        <f t="shared" si="9"/>
        <v>-3764.918803889992</v>
      </c>
      <c r="M29" s="35">
        <f t="shared" si="15"/>
        <v>-289.6091387607687</v>
      </c>
      <c r="N29" s="34">
        <f t="shared" si="12"/>
        <v>-4054.5279426507605</v>
      </c>
      <c r="O29" s="34">
        <f t="shared" si="1"/>
        <v>13322.020382995363</v>
      </c>
      <c r="P29" s="26"/>
      <c r="Q29" s="36">
        <f t="shared" si="2"/>
        <v>229.26</v>
      </c>
      <c r="R29" s="36">
        <f t="shared" si="3"/>
        <v>-229.26</v>
      </c>
      <c r="S29" s="35"/>
      <c r="T29" s="35">
        <f t="shared" si="13"/>
        <v>289.6091387607687</v>
      </c>
      <c r="U29" s="35">
        <f t="shared" si="14"/>
        <v>-289.6091387607687</v>
      </c>
    </row>
    <row r="30" spans="1:21" x14ac:dyDescent="0.2">
      <c r="A30" s="20">
        <f t="shared" si="4"/>
        <v>15</v>
      </c>
      <c r="B30" s="21">
        <f t="shared" si="10"/>
        <v>43552</v>
      </c>
      <c r="C30" s="22">
        <v>0</v>
      </c>
      <c r="D30" s="30">
        <f t="shared" si="0"/>
        <v>0.92791687675916612</v>
      </c>
      <c r="E30" s="23">
        <f t="shared" si="5"/>
        <v>0</v>
      </c>
      <c r="G30" s="31">
        <f t="shared" si="11"/>
        <v>-46080.518325646182</v>
      </c>
      <c r="H30" s="32">
        <f t="shared" si="6"/>
        <v>-230.4</v>
      </c>
      <c r="I30" s="33">
        <f t="shared" si="7"/>
        <v>-46310.918325646184</v>
      </c>
      <c r="J30" s="26"/>
      <c r="K30" s="34">
        <f t="shared" si="8"/>
        <v>17376.548325646123</v>
      </c>
      <c r="L30" s="35">
        <f t="shared" si="9"/>
        <v>-4054.5279426507605</v>
      </c>
      <c r="M30" s="35">
        <f t="shared" si="15"/>
        <v>-289.6091387607687</v>
      </c>
      <c r="N30" s="34">
        <f t="shared" si="12"/>
        <v>-4344.1370814115289</v>
      </c>
      <c r="O30" s="34">
        <f t="shared" si="1"/>
        <v>13032.411244234594</v>
      </c>
      <c r="P30" s="26"/>
      <c r="Q30" s="36">
        <f t="shared" si="2"/>
        <v>230.4</v>
      </c>
      <c r="R30" s="36">
        <f t="shared" si="3"/>
        <v>-230.4</v>
      </c>
      <c r="S30" s="35"/>
      <c r="T30" s="35">
        <f t="shared" si="13"/>
        <v>289.6091387607687</v>
      </c>
      <c r="U30" s="35">
        <f t="shared" si="14"/>
        <v>-289.6091387607687</v>
      </c>
    </row>
    <row r="31" spans="1:21" x14ac:dyDescent="0.2">
      <c r="A31" s="20">
        <f t="shared" si="4"/>
        <v>16</v>
      </c>
      <c r="B31" s="21">
        <f t="shared" si="10"/>
        <v>43583</v>
      </c>
      <c r="C31" s="22">
        <v>0</v>
      </c>
      <c r="D31" s="30">
        <f t="shared" si="0"/>
        <v>0.92330037488474248</v>
      </c>
      <c r="E31" s="23">
        <f t="shared" si="5"/>
        <v>0</v>
      </c>
      <c r="G31" s="31">
        <f t="shared" si="11"/>
        <v>-46310.918325646184</v>
      </c>
      <c r="H31" s="32">
        <f t="shared" si="6"/>
        <v>-231.55</v>
      </c>
      <c r="I31" s="33">
        <f t="shared" si="7"/>
        <v>-46542.468325646187</v>
      </c>
      <c r="J31" s="26"/>
      <c r="K31" s="34">
        <f t="shared" si="8"/>
        <v>17376.548325646123</v>
      </c>
      <c r="L31" s="35">
        <f t="shared" si="9"/>
        <v>-4344.1370814115289</v>
      </c>
      <c r="M31" s="35">
        <f t="shared" si="15"/>
        <v>-289.6091387607687</v>
      </c>
      <c r="N31" s="34">
        <f t="shared" si="12"/>
        <v>-4633.7462201722974</v>
      </c>
      <c r="O31" s="34">
        <f t="shared" si="1"/>
        <v>12742.802105473826</v>
      </c>
      <c r="P31" s="26"/>
      <c r="Q31" s="36">
        <f t="shared" si="2"/>
        <v>231.55</v>
      </c>
      <c r="R31" s="36">
        <f t="shared" si="3"/>
        <v>-231.55</v>
      </c>
      <c r="S31" s="35"/>
      <c r="T31" s="35">
        <f t="shared" si="13"/>
        <v>289.6091387607687</v>
      </c>
      <c r="U31" s="35">
        <f t="shared" si="14"/>
        <v>-289.6091387607687</v>
      </c>
    </row>
    <row r="32" spans="1:21" x14ac:dyDescent="0.2">
      <c r="A32" s="20">
        <f t="shared" si="4"/>
        <v>17</v>
      </c>
      <c r="B32" s="21">
        <f t="shared" si="10"/>
        <v>43613</v>
      </c>
      <c r="C32" s="22">
        <v>0</v>
      </c>
      <c r="D32" s="30">
        <f t="shared" si="0"/>
        <v>0.9187068406813359</v>
      </c>
      <c r="E32" s="23">
        <f t="shared" si="5"/>
        <v>0</v>
      </c>
      <c r="G32" s="31">
        <f t="shared" si="11"/>
        <v>-46542.468325646187</v>
      </c>
      <c r="H32" s="32">
        <f t="shared" si="6"/>
        <v>-232.71</v>
      </c>
      <c r="I32" s="33">
        <f t="shared" si="7"/>
        <v>-46775.178325646186</v>
      </c>
      <c r="J32" s="26"/>
      <c r="K32" s="34">
        <f t="shared" si="8"/>
        <v>17376.548325646123</v>
      </c>
      <c r="L32" s="35">
        <f t="shared" si="9"/>
        <v>-4633.7462201722974</v>
      </c>
      <c r="M32" s="35">
        <f t="shared" si="15"/>
        <v>-289.6091387607687</v>
      </c>
      <c r="N32" s="34">
        <f t="shared" si="12"/>
        <v>-4923.3553589330659</v>
      </c>
      <c r="O32" s="34">
        <f t="shared" si="1"/>
        <v>12453.192966713057</v>
      </c>
      <c r="P32" s="26"/>
      <c r="Q32" s="36">
        <f t="shared" si="2"/>
        <v>232.71</v>
      </c>
      <c r="R32" s="36">
        <f t="shared" si="3"/>
        <v>-232.71</v>
      </c>
      <c r="S32" s="35"/>
      <c r="T32" s="35">
        <f t="shared" si="13"/>
        <v>289.6091387607687</v>
      </c>
      <c r="U32" s="35">
        <f t="shared" si="14"/>
        <v>-289.6091387607687</v>
      </c>
    </row>
    <row r="33" spans="1:21" x14ac:dyDescent="0.2">
      <c r="A33" s="20">
        <f t="shared" si="4"/>
        <v>18</v>
      </c>
      <c r="B33" s="21">
        <f t="shared" si="10"/>
        <v>43644</v>
      </c>
      <c r="C33" s="22">
        <v>0</v>
      </c>
      <c r="D33" s="30">
        <f t="shared" si="0"/>
        <v>0.91413615988192654</v>
      </c>
      <c r="E33" s="23">
        <f t="shared" si="5"/>
        <v>0</v>
      </c>
      <c r="G33" s="31">
        <f t="shared" si="11"/>
        <v>-46775.178325646186</v>
      </c>
      <c r="H33" s="32">
        <f t="shared" si="6"/>
        <v>-233.88</v>
      </c>
      <c r="I33" s="33">
        <f t="shared" si="7"/>
        <v>-47009.058325646183</v>
      </c>
      <c r="J33" s="26"/>
      <c r="K33" s="34">
        <f t="shared" si="8"/>
        <v>17376.548325646123</v>
      </c>
      <c r="L33" s="35">
        <f t="shared" si="9"/>
        <v>-4923.3553589330659</v>
      </c>
      <c r="M33" s="35">
        <f t="shared" si="15"/>
        <v>-289.6091387607687</v>
      </c>
      <c r="N33" s="34">
        <f t="shared" si="12"/>
        <v>-5212.9644976938343</v>
      </c>
      <c r="O33" s="34">
        <f t="shared" si="1"/>
        <v>12163.583827952289</v>
      </c>
      <c r="P33" s="26"/>
      <c r="Q33" s="36">
        <f t="shared" si="2"/>
        <v>233.88</v>
      </c>
      <c r="R33" s="36">
        <f t="shared" si="3"/>
        <v>-233.88</v>
      </c>
      <c r="S33" s="35"/>
      <c r="T33" s="35">
        <f t="shared" si="13"/>
        <v>289.6091387607687</v>
      </c>
      <c r="U33" s="35">
        <f t="shared" si="14"/>
        <v>-289.6091387607687</v>
      </c>
    </row>
    <row r="34" spans="1:21" x14ac:dyDescent="0.2">
      <c r="A34" s="20">
        <f t="shared" si="4"/>
        <v>19</v>
      </c>
      <c r="B34" s="21">
        <f t="shared" si="10"/>
        <v>43674</v>
      </c>
      <c r="C34" s="22">
        <v>0</v>
      </c>
      <c r="D34" s="30">
        <f t="shared" si="0"/>
        <v>0.90958821878798668</v>
      </c>
      <c r="E34" s="23">
        <f t="shared" si="5"/>
        <v>0</v>
      </c>
      <c r="G34" s="31">
        <f t="shared" si="11"/>
        <v>-47009.058325646183</v>
      </c>
      <c r="H34" s="32">
        <f t="shared" si="6"/>
        <v>-235.05</v>
      </c>
      <c r="I34" s="33">
        <f t="shared" si="7"/>
        <v>-47244.108325646186</v>
      </c>
      <c r="J34" s="26"/>
      <c r="K34" s="34">
        <f t="shared" si="8"/>
        <v>17376.548325646123</v>
      </c>
      <c r="L34" s="35">
        <f t="shared" si="9"/>
        <v>-5212.9644976938343</v>
      </c>
      <c r="M34" s="35">
        <f t="shared" si="15"/>
        <v>-289.6091387607687</v>
      </c>
      <c r="N34" s="34">
        <f t="shared" si="12"/>
        <v>-5502.5736364546028</v>
      </c>
      <c r="O34" s="34">
        <f t="shared" si="1"/>
        <v>11873.97468919152</v>
      </c>
      <c r="P34" s="26"/>
      <c r="Q34" s="36">
        <f t="shared" si="2"/>
        <v>235.05</v>
      </c>
      <c r="R34" s="36">
        <f t="shared" si="3"/>
        <v>-235.05</v>
      </c>
      <c r="S34" s="35"/>
      <c r="T34" s="35">
        <f t="shared" si="13"/>
        <v>289.6091387607687</v>
      </c>
      <c r="U34" s="35">
        <f t="shared" si="14"/>
        <v>-289.6091387607687</v>
      </c>
    </row>
    <row r="35" spans="1:21" x14ac:dyDescent="0.2">
      <c r="A35" s="20">
        <f t="shared" si="4"/>
        <v>20</v>
      </c>
      <c r="B35" s="21">
        <f t="shared" si="10"/>
        <v>43705</v>
      </c>
      <c r="C35" s="22">
        <v>0</v>
      </c>
      <c r="D35" s="30">
        <f t="shared" si="0"/>
        <v>0.90506290426665348</v>
      </c>
      <c r="E35" s="23">
        <f t="shared" si="5"/>
        <v>0</v>
      </c>
      <c r="G35" s="31">
        <f t="shared" si="11"/>
        <v>-47244.108325646186</v>
      </c>
      <c r="H35" s="32">
        <f t="shared" si="6"/>
        <v>-236.22</v>
      </c>
      <c r="I35" s="33">
        <f t="shared" si="7"/>
        <v>-47480.328325646187</v>
      </c>
      <c r="J35" s="26"/>
      <c r="K35" s="34">
        <f t="shared" si="8"/>
        <v>17376.548325646123</v>
      </c>
      <c r="L35" s="35">
        <f t="shared" si="9"/>
        <v>-5502.5736364546028</v>
      </c>
      <c r="M35" s="35">
        <f t="shared" si="15"/>
        <v>-289.6091387607687</v>
      </c>
      <c r="N35" s="34">
        <f t="shared" si="12"/>
        <v>-5792.1827752153713</v>
      </c>
      <c r="O35" s="34">
        <f t="shared" si="1"/>
        <v>11584.365550430752</v>
      </c>
      <c r="P35" s="26"/>
      <c r="Q35" s="36">
        <f t="shared" si="2"/>
        <v>236.22</v>
      </c>
      <c r="R35" s="36">
        <f t="shared" si="3"/>
        <v>-236.22</v>
      </c>
      <c r="S35" s="35"/>
      <c r="T35" s="35">
        <f t="shared" si="13"/>
        <v>289.6091387607687</v>
      </c>
      <c r="U35" s="35">
        <f t="shared" si="14"/>
        <v>-289.6091387607687</v>
      </c>
    </row>
    <row r="36" spans="1:21" x14ac:dyDescent="0.2">
      <c r="A36" s="20">
        <f t="shared" si="4"/>
        <v>21</v>
      </c>
      <c r="B36" s="21">
        <f t="shared" si="10"/>
        <v>43736</v>
      </c>
      <c r="C36" s="22">
        <v>0</v>
      </c>
      <c r="D36" s="30">
        <f t="shared" si="0"/>
        <v>0.90056010374791418</v>
      </c>
      <c r="E36" s="23">
        <f t="shared" si="5"/>
        <v>0</v>
      </c>
      <c r="G36" s="31">
        <f t="shared" si="11"/>
        <v>-47480.328325646187</v>
      </c>
      <c r="H36" s="32">
        <f t="shared" si="6"/>
        <v>-237.4</v>
      </c>
      <c r="I36" s="33">
        <f t="shared" si="7"/>
        <v>-47717.728325646189</v>
      </c>
      <c r="J36" s="26"/>
      <c r="K36" s="34">
        <f t="shared" si="8"/>
        <v>17376.548325646123</v>
      </c>
      <c r="L36" s="35">
        <f t="shared" si="9"/>
        <v>-5792.1827752153713</v>
      </c>
      <c r="M36" s="35">
        <f t="shared" si="15"/>
        <v>-289.6091387607687</v>
      </c>
      <c r="N36" s="34">
        <f t="shared" si="12"/>
        <v>-6081.7919139761398</v>
      </c>
      <c r="O36" s="34">
        <f t="shared" si="1"/>
        <v>11294.756411669983</v>
      </c>
      <c r="P36" s="26"/>
      <c r="Q36" s="36">
        <f t="shared" si="2"/>
        <v>237.4</v>
      </c>
      <c r="R36" s="36">
        <f t="shared" si="3"/>
        <v>-237.4</v>
      </c>
      <c r="S36" s="35"/>
      <c r="T36" s="35">
        <f t="shared" si="13"/>
        <v>289.6091387607687</v>
      </c>
      <c r="U36" s="35">
        <f t="shared" si="14"/>
        <v>-289.6091387607687</v>
      </c>
    </row>
    <row r="37" spans="1:21" x14ac:dyDescent="0.2">
      <c r="A37" s="20">
        <f t="shared" si="4"/>
        <v>22</v>
      </c>
      <c r="B37" s="21">
        <f t="shared" si="10"/>
        <v>43766</v>
      </c>
      <c r="C37" s="22">
        <v>0</v>
      </c>
      <c r="D37" s="30">
        <f t="shared" si="0"/>
        <v>0.89607970522180524</v>
      </c>
      <c r="E37" s="23">
        <f t="shared" si="5"/>
        <v>0</v>
      </c>
      <c r="G37" s="31">
        <f t="shared" si="11"/>
        <v>-47717.728325646189</v>
      </c>
      <c r="H37" s="32">
        <f t="shared" si="6"/>
        <v>-238.59</v>
      </c>
      <c r="I37" s="33">
        <f t="shared" si="7"/>
        <v>-47956.318325646185</v>
      </c>
      <c r="J37" s="26"/>
      <c r="K37" s="34">
        <f t="shared" si="8"/>
        <v>17376.548325646123</v>
      </c>
      <c r="L37" s="35">
        <f t="shared" si="9"/>
        <v>-6081.7919139761398</v>
      </c>
      <c r="M37" s="35">
        <f t="shared" si="15"/>
        <v>-289.6091387607687</v>
      </c>
      <c r="N37" s="34">
        <f t="shared" si="12"/>
        <v>-6371.4010527369082</v>
      </c>
      <c r="O37" s="34">
        <f t="shared" si="1"/>
        <v>11005.147272909215</v>
      </c>
      <c r="P37" s="26"/>
      <c r="Q37" s="36">
        <f t="shared" si="2"/>
        <v>238.59</v>
      </c>
      <c r="R37" s="36">
        <f t="shared" si="3"/>
        <v>-238.59</v>
      </c>
      <c r="S37" s="35"/>
      <c r="T37" s="35">
        <f t="shared" si="13"/>
        <v>289.6091387607687</v>
      </c>
      <c r="U37" s="35">
        <f t="shared" si="14"/>
        <v>-289.6091387607687</v>
      </c>
    </row>
    <row r="38" spans="1:21" x14ac:dyDescent="0.2">
      <c r="A38" s="20">
        <f t="shared" si="4"/>
        <v>23</v>
      </c>
      <c r="B38" s="21">
        <f t="shared" si="10"/>
        <v>43797</v>
      </c>
      <c r="C38" s="22">
        <v>0</v>
      </c>
      <c r="D38" s="30">
        <f t="shared" si="0"/>
        <v>0.89162159723562728</v>
      </c>
      <c r="E38" s="23">
        <f t="shared" si="5"/>
        <v>0</v>
      </c>
      <c r="G38" s="31">
        <f t="shared" si="11"/>
        <v>-47956.318325646185</v>
      </c>
      <c r="H38" s="32">
        <f t="shared" si="6"/>
        <v>-239.78</v>
      </c>
      <c r="I38" s="33">
        <f t="shared" si="7"/>
        <v>-48196.098325646184</v>
      </c>
      <c r="J38" s="26"/>
      <c r="K38" s="34">
        <f t="shared" si="8"/>
        <v>17376.548325646123</v>
      </c>
      <c r="L38" s="35">
        <f t="shared" si="9"/>
        <v>-6371.4010527369082</v>
      </c>
      <c r="M38" s="35">
        <f t="shared" si="15"/>
        <v>-289.6091387607687</v>
      </c>
      <c r="N38" s="34">
        <f t="shared" si="12"/>
        <v>-6661.0101914976767</v>
      </c>
      <c r="O38" s="34">
        <f t="shared" si="1"/>
        <v>10715.538134148446</v>
      </c>
      <c r="P38" s="26"/>
      <c r="Q38" s="36">
        <f t="shared" si="2"/>
        <v>239.78</v>
      </c>
      <c r="R38" s="36">
        <f t="shared" si="3"/>
        <v>-239.78</v>
      </c>
      <c r="S38" s="35"/>
      <c r="T38" s="35">
        <f t="shared" si="13"/>
        <v>289.6091387607687</v>
      </c>
      <c r="U38" s="35">
        <f t="shared" si="14"/>
        <v>-289.6091387607687</v>
      </c>
    </row>
    <row r="39" spans="1:21" x14ac:dyDescent="0.2">
      <c r="A39" s="20">
        <f t="shared" si="4"/>
        <v>24</v>
      </c>
      <c r="B39" s="21">
        <f t="shared" si="10"/>
        <v>43827</v>
      </c>
      <c r="C39" s="22">
        <v>0</v>
      </c>
      <c r="D39" s="30">
        <f t="shared" si="0"/>
        <v>0.88718566889117134</v>
      </c>
      <c r="E39" s="23">
        <f t="shared" si="5"/>
        <v>0</v>
      </c>
      <c r="G39" s="31">
        <f t="shared" si="11"/>
        <v>-48196.098325646184</v>
      </c>
      <c r="H39" s="32">
        <f t="shared" si="6"/>
        <v>-240.98</v>
      </c>
      <c r="I39" s="33">
        <f t="shared" si="7"/>
        <v>-48437.078325646187</v>
      </c>
      <c r="J39" s="26"/>
      <c r="K39" s="34">
        <f t="shared" si="8"/>
        <v>17376.548325646123</v>
      </c>
      <c r="L39" s="35">
        <f t="shared" si="9"/>
        <v>-6661.0101914976767</v>
      </c>
      <c r="M39" s="35">
        <f t="shared" si="15"/>
        <v>-289.6091387607687</v>
      </c>
      <c r="N39" s="34">
        <f t="shared" si="12"/>
        <v>-6950.6193302584452</v>
      </c>
      <c r="O39" s="34">
        <f t="shared" si="1"/>
        <v>10425.928995387678</v>
      </c>
      <c r="P39" s="26"/>
      <c r="Q39" s="36">
        <f t="shared" si="2"/>
        <v>240.98</v>
      </c>
      <c r="R39" s="36">
        <f t="shared" si="3"/>
        <v>-240.98</v>
      </c>
      <c r="S39" s="35"/>
      <c r="T39" s="35">
        <f t="shared" si="13"/>
        <v>289.6091387607687</v>
      </c>
      <c r="U39" s="35">
        <f t="shared" si="14"/>
        <v>-289.6091387607687</v>
      </c>
    </row>
    <row r="40" spans="1:21" x14ac:dyDescent="0.2">
      <c r="A40" s="20">
        <f t="shared" si="4"/>
        <v>25</v>
      </c>
      <c r="B40" s="21">
        <f t="shared" si="10"/>
        <v>43858</v>
      </c>
      <c r="C40" s="22">
        <v>0</v>
      </c>
      <c r="D40" s="30">
        <f t="shared" si="0"/>
        <v>0.8827718098419618</v>
      </c>
      <c r="E40" s="23">
        <f t="shared" si="5"/>
        <v>0</v>
      </c>
      <c r="G40" s="31">
        <f t="shared" si="11"/>
        <v>-48437.078325646187</v>
      </c>
      <c r="H40" s="32">
        <f t="shared" si="6"/>
        <v>-242.19</v>
      </c>
      <c r="I40" s="33">
        <f t="shared" si="7"/>
        <v>-48679.26832564619</v>
      </c>
      <c r="J40" s="26"/>
      <c r="K40" s="34">
        <f t="shared" si="8"/>
        <v>17376.548325646123</v>
      </c>
      <c r="L40" s="35">
        <f t="shared" si="9"/>
        <v>-6950.6193302584452</v>
      </c>
      <c r="M40" s="35">
        <f t="shared" si="15"/>
        <v>-289.6091387607687</v>
      </c>
      <c r="N40" s="34">
        <f t="shared" si="12"/>
        <v>-7240.2284690192137</v>
      </c>
      <c r="O40" s="34">
        <f t="shared" si="1"/>
        <v>10136.319856626909</v>
      </c>
      <c r="P40" s="26"/>
      <c r="Q40" s="36">
        <f t="shared" si="2"/>
        <v>242.19</v>
      </c>
      <c r="R40" s="36">
        <f t="shared" si="3"/>
        <v>-242.19</v>
      </c>
      <c r="S40" s="35"/>
      <c r="T40" s="35">
        <f t="shared" si="13"/>
        <v>289.6091387607687</v>
      </c>
      <c r="U40" s="35">
        <f t="shared" si="14"/>
        <v>-289.6091387607687</v>
      </c>
    </row>
    <row r="41" spans="1:21" x14ac:dyDescent="0.2">
      <c r="A41" s="20">
        <f t="shared" si="4"/>
        <v>26</v>
      </c>
      <c r="B41" s="21">
        <f t="shared" si="10"/>
        <v>43889</v>
      </c>
      <c r="C41" s="22">
        <v>0</v>
      </c>
      <c r="D41" s="30">
        <f t="shared" si="0"/>
        <v>0.87837991029050932</v>
      </c>
      <c r="E41" s="23">
        <f t="shared" si="5"/>
        <v>0</v>
      </c>
      <c r="G41" s="31">
        <f t="shared" si="11"/>
        <v>-48679.26832564619</v>
      </c>
      <c r="H41" s="32">
        <f t="shared" si="6"/>
        <v>-243.4</v>
      </c>
      <c r="I41" s="33">
        <f t="shared" si="7"/>
        <v>-48922.668325646191</v>
      </c>
      <c r="J41" s="26"/>
      <c r="K41" s="34">
        <f t="shared" si="8"/>
        <v>17376.548325646123</v>
      </c>
      <c r="L41" s="35">
        <f t="shared" si="9"/>
        <v>-7240.2284690192137</v>
      </c>
      <c r="M41" s="35">
        <f t="shared" si="15"/>
        <v>-289.6091387607687</v>
      </c>
      <c r="N41" s="34">
        <f t="shared" si="12"/>
        <v>-7529.8376077799821</v>
      </c>
      <c r="O41" s="34">
        <f t="shared" si="1"/>
        <v>9846.7107178661408</v>
      </c>
      <c r="P41" s="26"/>
      <c r="Q41" s="36">
        <f t="shared" si="2"/>
        <v>243.4</v>
      </c>
      <c r="R41" s="36">
        <f t="shared" si="3"/>
        <v>-243.4</v>
      </c>
      <c r="S41" s="35"/>
      <c r="T41" s="35">
        <f t="shared" si="13"/>
        <v>289.6091387607687</v>
      </c>
      <c r="U41" s="35">
        <f t="shared" si="14"/>
        <v>-289.6091387607687</v>
      </c>
    </row>
    <row r="42" spans="1:21" x14ac:dyDescent="0.2">
      <c r="A42" s="20">
        <f t="shared" si="4"/>
        <v>27</v>
      </c>
      <c r="B42" s="21">
        <f t="shared" si="10"/>
        <v>43918</v>
      </c>
      <c r="C42" s="22">
        <v>0</v>
      </c>
      <c r="D42" s="30">
        <f t="shared" si="0"/>
        <v>0.87400986098558153</v>
      </c>
      <c r="E42" s="23">
        <f t="shared" si="5"/>
        <v>0</v>
      </c>
      <c r="G42" s="31">
        <f t="shared" si="11"/>
        <v>-48922.668325646191</v>
      </c>
      <c r="H42" s="32">
        <f t="shared" si="6"/>
        <v>-244.61</v>
      </c>
      <c r="I42" s="33">
        <f t="shared" si="7"/>
        <v>-49167.278325646192</v>
      </c>
      <c r="J42" s="26"/>
      <c r="K42" s="34">
        <f t="shared" si="8"/>
        <v>17376.548325646123</v>
      </c>
      <c r="L42" s="35">
        <f t="shared" si="9"/>
        <v>-7529.8376077799821</v>
      </c>
      <c r="M42" s="35">
        <f t="shared" si="15"/>
        <v>-289.6091387607687</v>
      </c>
      <c r="N42" s="34">
        <f t="shared" si="12"/>
        <v>-7819.4467465407506</v>
      </c>
      <c r="O42" s="34">
        <f t="shared" si="1"/>
        <v>9557.1015791053724</v>
      </c>
      <c r="P42" s="26"/>
      <c r="Q42" s="36">
        <f t="shared" si="2"/>
        <v>244.61</v>
      </c>
      <c r="R42" s="36">
        <f t="shared" si="3"/>
        <v>-244.61</v>
      </c>
      <c r="S42" s="35"/>
      <c r="T42" s="35">
        <f t="shared" si="13"/>
        <v>289.6091387607687</v>
      </c>
      <c r="U42" s="35">
        <f t="shared" si="14"/>
        <v>-289.6091387607687</v>
      </c>
    </row>
    <row r="43" spans="1:21" x14ac:dyDescent="0.2">
      <c r="A43" s="20">
        <f t="shared" si="4"/>
        <v>28</v>
      </c>
      <c r="B43" s="21">
        <f t="shared" si="10"/>
        <v>43949</v>
      </c>
      <c r="C43" s="22">
        <v>0</v>
      </c>
      <c r="D43" s="30">
        <f t="shared" si="0"/>
        <v>0.86966155321948435</v>
      </c>
      <c r="E43" s="23">
        <f t="shared" si="5"/>
        <v>0</v>
      </c>
      <c r="G43" s="31">
        <f t="shared" si="11"/>
        <v>-49167.278325646192</v>
      </c>
      <c r="H43" s="32">
        <f t="shared" si="6"/>
        <v>-245.84</v>
      </c>
      <c r="I43" s="33">
        <f t="shared" si="7"/>
        <v>-49413.118325646188</v>
      </c>
      <c r="J43" s="26"/>
      <c r="K43" s="34">
        <f t="shared" si="8"/>
        <v>17376.548325646123</v>
      </c>
      <c r="L43" s="35">
        <f t="shared" si="9"/>
        <v>-7819.4467465407506</v>
      </c>
      <c r="M43" s="35">
        <f t="shared" si="15"/>
        <v>-289.6091387607687</v>
      </c>
      <c r="N43" s="34">
        <f t="shared" si="12"/>
        <v>-8109.0558853015191</v>
      </c>
      <c r="O43" s="34">
        <f t="shared" si="1"/>
        <v>9267.4924403446039</v>
      </c>
      <c r="P43" s="26"/>
      <c r="Q43" s="36">
        <f t="shared" si="2"/>
        <v>245.84</v>
      </c>
      <c r="R43" s="36">
        <f t="shared" si="3"/>
        <v>-245.84</v>
      </c>
      <c r="S43" s="35"/>
      <c r="T43" s="35">
        <f t="shared" si="13"/>
        <v>289.6091387607687</v>
      </c>
      <c r="U43" s="35">
        <f t="shared" si="14"/>
        <v>-289.6091387607687</v>
      </c>
    </row>
    <row r="44" spans="1:21" x14ac:dyDescent="0.2">
      <c r="A44" s="20">
        <f t="shared" si="4"/>
        <v>29</v>
      </c>
      <c r="B44" s="21">
        <f t="shared" si="10"/>
        <v>43979</v>
      </c>
      <c r="C44" s="22">
        <v>0</v>
      </c>
      <c r="D44" s="30">
        <f t="shared" si="0"/>
        <v>0.86533487882535765</v>
      </c>
      <c r="E44" s="23">
        <f t="shared" si="5"/>
        <v>0</v>
      </c>
      <c r="G44" s="31">
        <f t="shared" si="11"/>
        <v>-49413.118325646188</v>
      </c>
      <c r="H44" s="32">
        <f t="shared" si="6"/>
        <v>-247.07</v>
      </c>
      <c r="I44" s="33">
        <f t="shared" si="7"/>
        <v>-49660.188325646188</v>
      </c>
      <c r="J44" s="26"/>
      <c r="K44" s="34">
        <f t="shared" si="8"/>
        <v>17376.548325646123</v>
      </c>
      <c r="L44" s="35">
        <f t="shared" si="9"/>
        <v>-8109.0558853015191</v>
      </c>
      <c r="M44" s="35">
        <f t="shared" si="15"/>
        <v>-289.6091387607687</v>
      </c>
      <c r="N44" s="34">
        <f t="shared" si="12"/>
        <v>-8398.6650240622876</v>
      </c>
      <c r="O44" s="34">
        <f t="shared" si="1"/>
        <v>8977.8833015838354</v>
      </c>
      <c r="P44" s="26"/>
      <c r="Q44" s="36">
        <f t="shared" si="2"/>
        <v>247.07</v>
      </c>
      <c r="R44" s="36">
        <f t="shared" si="3"/>
        <v>-247.07</v>
      </c>
      <c r="S44" s="35"/>
      <c r="T44" s="35">
        <f t="shared" si="13"/>
        <v>289.6091387607687</v>
      </c>
      <c r="U44" s="35">
        <f t="shared" si="14"/>
        <v>-289.6091387607687</v>
      </c>
    </row>
    <row r="45" spans="1:21" x14ac:dyDescent="0.2">
      <c r="A45" s="20">
        <f t="shared" si="4"/>
        <v>30</v>
      </c>
      <c r="B45" s="21">
        <f t="shared" si="10"/>
        <v>44010</v>
      </c>
      <c r="C45" s="22">
        <v>0</v>
      </c>
      <c r="D45" s="30">
        <f t="shared" si="0"/>
        <v>0.86102973017448536</v>
      </c>
      <c r="E45" s="23">
        <f t="shared" si="5"/>
        <v>0</v>
      </c>
      <c r="G45" s="31">
        <f t="shared" si="11"/>
        <v>-49660.188325646188</v>
      </c>
      <c r="H45" s="32">
        <f t="shared" si="6"/>
        <v>-248.3</v>
      </c>
      <c r="I45" s="33">
        <f t="shared" si="7"/>
        <v>-49908.488325646191</v>
      </c>
      <c r="J45" s="26"/>
      <c r="K45" s="34">
        <f t="shared" si="8"/>
        <v>17376.548325646123</v>
      </c>
      <c r="L45" s="35">
        <f t="shared" si="9"/>
        <v>-8398.6650240622876</v>
      </c>
      <c r="M45" s="35">
        <f t="shared" si="15"/>
        <v>-289.6091387607687</v>
      </c>
      <c r="N45" s="34">
        <f t="shared" si="12"/>
        <v>-8688.274162823056</v>
      </c>
      <c r="O45" s="34">
        <f t="shared" si="1"/>
        <v>8688.2741628230669</v>
      </c>
      <c r="P45" s="26"/>
      <c r="Q45" s="36">
        <f t="shared" si="2"/>
        <v>248.3</v>
      </c>
      <c r="R45" s="36">
        <f t="shared" si="3"/>
        <v>-248.3</v>
      </c>
      <c r="S45" s="35"/>
      <c r="T45" s="35">
        <f t="shared" si="13"/>
        <v>289.6091387607687</v>
      </c>
      <c r="U45" s="35">
        <f t="shared" si="14"/>
        <v>-289.6091387607687</v>
      </c>
    </row>
    <row r="46" spans="1:21" x14ac:dyDescent="0.2">
      <c r="A46" s="20">
        <f t="shared" si="4"/>
        <v>31</v>
      </c>
      <c r="B46" s="21">
        <f t="shared" si="10"/>
        <v>44040</v>
      </c>
      <c r="C46" s="22">
        <v>0</v>
      </c>
      <c r="D46" s="30">
        <f t="shared" si="0"/>
        <v>0.85674600017361746</v>
      </c>
      <c r="E46" s="23">
        <f t="shared" si="5"/>
        <v>0</v>
      </c>
      <c r="G46" s="31">
        <f t="shared" si="11"/>
        <v>-49908.488325646191</v>
      </c>
      <c r="H46" s="32">
        <f t="shared" si="6"/>
        <v>-249.54</v>
      </c>
      <c r="I46" s="33">
        <f t="shared" si="7"/>
        <v>-50158.028325646192</v>
      </c>
      <c r="J46" s="26"/>
      <c r="K46" s="34">
        <f t="shared" si="8"/>
        <v>17376.548325646123</v>
      </c>
      <c r="L46" s="35">
        <f t="shared" si="9"/>
        <v>-8688.274162823056</v>
      </c>
      <c r="M46" s="35">
        <f t="shared" si="15"/>
        <v>-289.6091387607687</v>
      </c>
      <c r="N46" s="34">
        <f t="shared" si="12"/>
        <v>-8977.8833015838245</v>
      </c>
      <c r="O46" s="34">
        <f t="shared" si="1"/>
        <v>8398.6650240622985</v>
      </c>
      <c r="P46" s="26"/>
      <c r="Q46" s="36">
        <f t="shared" si="2"/>
        <v>249.54</v>
      </c>
      <c r="R46" s="36">
        <f t="shared" si="3"/>
        <v>-249.54</v>
      </c>
      <c r="S46" s="35"/>
      <c r="T46" s="35">
        <f t="shared" si="13"/>
        <v>289.6091387607687</v>
      </c>
      <c r="U46" s="35">
        <f t="shared" si="14"/>
        <v>-289.6091387607687</v>
      </c>
    </row>
    <row r="47" spans="1:21" x14ac:dyDescent="0.2">
      <c r="A47" s="20">
        <f t="shared" si="4"/>
        <v>32</v>
      </c>
      <c r="B47" s="21">
        <f t="shared" si="10"/>
        <v>44071</v>
      </c>
      <c r="C47" s="22">
        <v>0</v>
      </c>
      <c r="D47" s="30">
        <f t="shared" si="0"/>
        <v>0.85248358226230603</v>
      </c>
      <c r="E47" s="23">
        <f t="shared" si="5"/>
        <v>0</v>
      </c>
      <c r="G47" s="31">
        <f t="shared" si="11"/>
        <v>-50158.028325646192</v>
      </c>
      <c r="H47" s="32">
        <f t="shared" si="6"/>
        <v>-250.79</v>
      </c>
      <c r="I47" s="33">
        <f t="shared" si="7"/>
        <v>-50408.818325646193</v>
      </c>
      <c r="J47" s="26"/>
      <c r="K47" s="34">
        <f t="shared" si="8"/>
        <v>17376.548325646123</v>
      </c>
      <c r="L47" s="35">
        <f t="shared" si="9"/>
        <v>-8977.8833015838245</v>
      </c>
      <c r="M47" s="35">
        <f t="shared" si="15"/>
        <v>-289.6091387607687</v>
      </c>
      <c r="N47" s="34">
        <f t="shared" si="12"/>
        <v>-9267.492440344593</v>
      </c>
      <c r="O47" s="34">
        <f t="shared" si="1"/>
        <v>8109.05588530153</v>
      </c>
      <c r="P47" s="26"/>
      <c r="Q47" s="36">
        <f t="shared" si="2"/>
        <v>250.79</v>
      </c>
      <c r="R47" s="36">
        <f t="shared" si="3"/>
        <v>-250.79</v>
      </c>
      <c r="S47" s="35"/>
      <c r="T47" s="35">
        <f t="shared" si="13"/>
        <v>289.6091387607687</v>
      </c>
      <c r="U47" s="35">
        <f t="shared" si="14"/>
        <v>-289.6091387607687</v>
      </c>
    </row>
    <row r="48" spans="1:21" x14ac:dyDescent="0.2">
      <c r="A48" s="20">
        <f t="shared" si="4"/>
        <v>33</v>
      </c>
      <c r="B48" s="21">
        <f t="shared" si="10"/>
        <v>44102</v>
      </c>
      <c r="C48" s="22">
        <v>0</v>
      </c>
      <c r="D48" s="30">
        <f t="shared" si="0"/>
        <v>0.84824237041025496</v>
      </c>
      <c r="E48" s="23">
        <f t="shared" si="5"/>
        <v>0</v>
      </c>
      <c r="G48" s="31">
        <f t="shared" si="11"/>
        <v>-50408.818325646193</v>
      </c>
      <c r="H48" s="32">
        <f t="shared" si="6"/>
        <v>-252.04</v>
      </c>
      <c r="I48" s="33">
        <f t="shared" si="7"/>
        <v>-50660.858325646193</v>
      </c>
      <c r="J48" s="26"/>
      <c r="K48" s="34">
        <f t="shared" si="8"/>
        <v>17376.548325646123</v>
      </c>
      <c r="L48" s="35">
        <f t="shared" si="9"/>
        <v>-9267.492440344593</v>
      </c>
      <c r="M48" s="35">
        <f t="shared" si="15"/>
        <v>-289.6091387607687</v>
      </c>
      <c r="N48" s="34">
        <f t="shared" si="12"/>
        <v>-9557.1015791053615</v>
      </c>
      <c r="O48" s="34">
        <f t="shared" si="1"/>
        <v>7819.4467465407615</v>
      </c>
      <c r="P48" s="26"/>
      <c r="Q48" s="36">
        <f t="shared" si="2"/>
        <v>252.04</v>
      </c>
      <c r="R48" s="36">
        <f t="shared" si="3"/>
        <v>-252.04</v>
      </c>
      <c r="S48" s="35"/>
      <c r="T48" s="35">
        <f t="shared" si="13"/>
        <v>289.6091387607687</v>
      </c>
      <c r="U48" s="35">
        <f t="shared" si="14"/>
        <v>-289.6091387607687</v>
      </c>
    </row>
    <row r="49" spans="1:21" x14ac:dyDescent="0.2">
      <c r="A49" s="20">
        <f t="shared" si="4"/>
        <v>34</v>
      </c>
      <c r="B49" s="21">
        <f t="shared" si="10"/>
        <v>44132</v>
      </c>
      <c r="C49" s="22">
        <v>0</v>
      </c>
      <c r="D49" s="30">
        <f t="shared" si="0"/>
        <v>0.84402225911468165</v>
      </c>
      <c r="E49" s="23">
        <f t="shared" si="5"/>
        <v>0</v>
      </c>
      <c r="G49" s="31">
        <f t="shared" si="11"/>
        <v>-50660.858325646193</v>
      </c>
      <c r="H49" s="32">
        <f t="shared" si="6"/>
        <v>-253.3</v>
      </c>
      <c r="I49" s="33">
        <f t="shared" si="7"/>
        <v>-50914.158325646196</v>
      </c>
      <c r="J49" s="26"/>
      <c r="K49" s="34">
        <f t="shared" si="8"/>
        <v>17376.548325646123</v>
      </c>
      <c r="L49" s="35">
        <f t="shared" si="9"/>
        <v>-9557.1015791053615</v>
      </c>
      <c r="M49" s="35">
        <f t="shared" si="15"/>
        <v>-289.6091387607687</v>
      </c>
      <c r="N49" s="34">
        <f t="shared" si="12"/>
        <v>-9846.7107178661299</v>
      </c>
      <c r="O49" s="34">
        <f t="shared" si="1"/>
        <v>7529.837607779993</v>
      </c>
      <c r="P49" s="26"/>
      <c r="Q49" s="36">
        <f t="shared" si="2"/>
        <v>253.3</v>
      </c>
      <c r="R49" s="36">
        <f t="shared" si="3"/>
        <v>-253.3</v>
      </c>
      <c r="S49" s="35"/>
      <c r="T49" s="35">
        <f t="shared" si="13"/>
        <v>289.6091387607687</v>
      </c>
      <c r="U49" s="35">
        <f t="shared" si="14"/>
        <v>-289.6091387607687</v>
      </c>
    </row>
    <row r="50" spans="1:21" x14ac:dyDescent="0.2">
      <c r="A50" s="20">
        <f t="shared" si="4"/>
        <v>35</v>
      </c>
      <c r="B50" s="21">
        <f t="shared" si="10"/>
        <v>44163</v>
      </c>
      <c r="C50" s="22">
        <v>0</v>
      </c>
      <c r="D50" s="30">
        <f t="shared" si="0"/>
        <v>0.83982314339769315</v>
      </c>
      <c r="E50" s="23">
        <f t="shared" si="5"/>
        <v>0</v>
      </c>
      <c r="G50" s="31">
        <f t="shared" si="11"/>
        <v>-50914.158325646196</v>
      </c>
      <c r="H50" s="32">
        <f t="shared" si="6"/>
        <v>-254.57</v>
      </c>
      <c r="I50" s="33">
        <f t="shared" si="7"/>
        <v>-51168.728325646196</v>
      </c>
      <c r="J50" s="26"/>
      <c r="K50" s="34">
        <f t="shared" si="8"/>
        <v>17376.548325646123</v>
      </c>
      <c r="L50" s="35">
        <f t="shared" si="9"/>
        <v>-9846.7107178661299</v>
      </c>
      <c r="M50" s="35">
        <f t="shared" si="15"/>
        <v>-289.6091387607687</v>
      </c>
      <c r="N50" s="34">
        <f t="shared" si="12"/>
        <v>-10136.319856626898</v>
      </c>
      <c r="O50" s="34">
        <f t="shared" si="1"/>
        <v>7240.2284690192246</v>
      </c>
      <c r="P50" s="26"/>
      <c r="Q50" s="36">
        <f t="shared" si="2"/>
        <v>254.57</v>
      </c>
      <c r="R50" s="36">
        <f t="shared" si="3"/>
        <v>-254.57</v>
      </c>
      <c r="S50" s="35"/>
      <c r="T50" s="35">
        <f t="shared" si="13"/>
        <v>289.6091387607687</v>
      </c>
      <c r="U50" s="35">
        <f t="shared" si="14"/>
        <v>-289.6091387607687</v>
      </c>
    </row>
    <row r="51" spans="1:21" x14ac:dyDescent="0.2">
      <c r="A51" s="20">
        <f t="shared" si="4"/>
        <v>36</v>
      </c>
      <c r="B51" s="21">
        <f t="shared" si="10"/>
        <v>44193</v>
      </c>
      <c r="C51" s="22">
        <v>0</v>
      </c>
      <c r="D51" s="30">
        <f t="shared" si="0"/>
        <v>0.83564491880367509</v>
      </c>
      <c r="E51" s="23">
        <f t="shared" si="5"/>
        <v>0</v>
      </c>
      <c r="G51" s="31">
        <f t="shared" si="11"/>
        <v>-51168.728325646196</v>
      </c>
      <c r="H51" s="32">
        <f t="shared" si="6"/>
        <v>-255.84</v>
      </c>
      <c r="I51" s="33">
        <f t="shared" si="7"/>
        <v>-51424.568325646193</v>
      </c>
      <c r="J51" s="26"/>
      <c r="K51" s="34">
        <f t="shared" si="8"/>
        <v>17376.548325646123</v>
      </c>
      <c r="L51" s="35">
        <f t="shared" si="9"/>
        <v>-10136.319856626898</v>
      </c>
      <c r="M51" s="35">
        <f t="shared" si="15"/>
        <v>-289.6091387607687</v>
      </c>
      <c r="N51" s="34">
        <f t="shared" si="12"/>
        <v>-10425.928995387667</v>
      </c>
      <c r="O51" s="34">
        <f t="shared" si="1"/>
        <v>6950.6193302584561</v>
      </c>
      <c r="P51" s="26"/>
      <c r="Q51" s="36">
        <f t="shared" si="2"/>
        <v>255.84</v>
      </c>
      <c r="R51" s="36">
        <f t="shared" si="3"/>
        <v>-255.84</v>
      </c>
      <c r="S51" s="35"/>
      <c r="T51" s="35">
        <f t="shared" si="13"/>
        <v>289.6091387607687</v>
      </c>
      <c r="U51" s="35">
        <f t="shared" si="14"/>
        <v>-289.6091387607687</v>
      </c>
    </row>
    <row r="52" spans="1:21" x14ac:dyDescent="0.2">
      <c r="A52" s="20">
        <f t="shared" si="4"/>
        <v>37</v>
      </c>
      <c r="B52" s="21">
        <f t="shared" si="10"/>
        <v>44224</v>
      </c>
      <c r="C52" s="22">
        <v>0</v>
      </c>
      <c r="D52" s="30">
        <f t="shared" si="0"/>
        <v>0.83148748139669182</v>
      </c>
      <c r="E52" s="23">
        <f t="shared" si="5"/>
        <v>0</v>
      </c>
      <c r="G52" s="31">
        <f t="shared" si="11"/>
        <v>-51424.568325646193</v>
      </c>
      <c r="H52" s="32">
        <f t="shared" si="6"/>
        <v>-257.12</v>
      </c>
      <c r="I52" s="33">
        <f t="shared" si="7"/>
        <v>-51681.688325646195</v>
      </c>
      <c r="J52" s="26"/>
      <c r="K52" s="34">
        <f t="shared" si="8"/>
        <v>17376.548325646123</v>
      </c>
      <c r="L52" s="35">
        <f t="shared" si="9"/>
        <v>-10425.928995387667</v>
      </c>
      <c r="M52" s="35">
        <f t="shared" si="15"/>
        <v>-289.6091387607687</v>
      </c>
      <c r="N52" s="34">
        <f t="shared" si="12"/>
        <v>-10715.538134148435</v>
      </c>
      <c r="O52" s="34">
        <f t="shared" si="1"/>
        <v>6661.0101914976876</v>
      </c>
      <c r="P52" s="26"/>
      <c r="Q52" s="36">
        <f t="shared" si="2"/>
        <v>257.12</v>
      </c>
      <c r="R52" s="36">
        <f t="shared" si="3"/>
        <v>-257.12</v>
      </c>
      <c r="S52" s="35"/>
      <c r="T52" s="35">
        <f t="shared" si="13"/>
        <v>289.6091387607687</v>
      </c>
      <c r="U52" s="35">
        <f t="shared" si="14"/>
        <v>-289.6091387607687</v>
      </c>
    </row>
    <row r="53" spans="1:21" x14ac:dyDescent="0.2">
      <c r="A53" s="20">
        <f t="shared" si="4"/>
        <v>38</v>
      </c>
      <c r="B53" s="21">
        <f t="shared" si="10"/>
        <v>44255</v>
      </c>
      <c r="C53" s="22">
        <v>0</v>
      </c>
      <c r="D53" s="30">
        <f t="shared" si="0"/>
        <v>0.8273507277579023</v>
      </c>
      <c r="E53" s="23">
        <f t="shared" si="5"/>
        <v>0</v>
      </c>
      <c r="G53" s="31">
        <f t="shared" si="11"/>
        <v>-51681.688325646195</v>
      </c>
      <c r="H53" s="32">
        <f t="shared" si="6"/>
        <v>-258.41000000000003</v>
      </c>
      <c r="I53" s="33">
        <f t="shared" si="7"/>
        <v>-51940.098325646199</v>
      </c>
      <c r="J53" s="26"/>
      <c r="K53" s="34">
        <f t="shared" si="8"/>
        <v>17376.548325646123</v>
      </c>
      <c r="L53" s="35">
        <f t="shared" si="9"/>
        <v>-10715.538134148435</v>
      </c>
      <c r="M53" s="35">
        <f t="shared" si="15"/>
        <v>-289.6091387607687</v>
      </c>
      <c r="N53" s="34">
        <f t="shared" si="12"/>
        <v>-11005.147272909204</v>
      </c>
      <c r="O53" s="34">
        <f t="shared" si="1"/>
        <v>6371.4010527369192</v>
      </c>
      <c r="P53" s="26"/>
      <c r="Q53" s="36">
        <f t="shared" si="2"/>
        <v>258.41000000000003</v>
      </c>
      <c r="R53" s="36">
        <f t="shared" si="3"/>
        <v>-258.41000000000003</v>
      </c>
      <c r="S53" s="35"/>
      <c r="T53" s="35">
        <f t="shared" si="13"/>
        <v>289.6091387607687</v>
      </c>
      <c r="U53" s="35">
        <f t="shared" si="14"/>
        <v>-289.6091387607687</v>
      </c>
    </row>
    <row r="54" spans="1:21" x14ac:dyDescent="0.2">
      <c r="A54" s="20">
        <f t="shared" si="4"/>
        <v>39</v>
      </c>
      <c r="B54" s="21">
        <f t="shared" si="10"/>
        <v>44283</v>
      </c>
      <c r="C54" s="22">
        <v>0</v>
      </c>
      <c r="D54" s="30">
        <f t="shared" si="0"/>
        <v>0.82323455498298748</v>
      </c>
      <c r="E54" s="23">
        <f t="shared" si="5"/>
        <v>0</v>
      </c>
      <c r="G54" s="31">
        <f t="shared" si="11"/>
        <v>-51940.098325646199</v>
      </c>
      <c r="H54" s="32">
        <f t="shared" si="6"/>
        <v>-259.7</v>
      </c>
      <c r="I54" s="33">
        <f t="shared" si="7"/>
        <v>-52199.798325646196</v>
      </c>
      <c r="J54" s="26"/>
      <c r="K54" s="34">
        <f t="shared" si="8"/>
        <v>17376.548325646123</v>
      </c>
      <c r="L54" s="35">
        <f t="shared" si="9"/>
        <v>-11005.147272909204</v>
      </c>
      <c r="M54" s="35">
        <f t="shared" si="15"/>
        <v>-289.6091387607687</v>
      </c>
      <c r="N54" s="34">
        <f t="shared" si="12"/>
        <v>-11294.756411669972</v>
      </c>
      <c r="O54" s="34">
        <f t="shared" si="1"/>
        <v>6081.7919139761507</v>
      </c>
      <c r="P54" s="26"/>
      <c r="Q54" s="36">
        <f t="shared" si="2"/>
        <v>259.7</v>
      </c>
      <c r="R54" s="36">
        <f t="shared" si="3"/>
        <v>-259.7</v>
      </c>
      <c r="S54" s="35"/>
      <c r="T54" s="35">
        <f t="shared" si="13"/>
        <v>289.6091387607687</v>
      </c>
      <c r="U54" s="35">
        <f t="shared" si="14"/>
        <v>-289.6091387607687</v>
      </c>
    </row>
    <row r="55" spans="1:21" x14ac:dyDescent="0.2">
      <c r="A55" s="20">
        <f t="shared" si="4"/>
        <v>40</v>
      </c>
      <c r="B55" s="21">
        <f t="shared" si="10"/>
        <v>44314</v>
      </c>
      <c r="C55" s="22">
        <v>0</v>
      </c>
      <c r="D55" s="30">
        <f t="shared" si="0"/>
        <v>0.81913886067958963</v>
      </c>
      <c r="E55" s="23">
        <f t="shared" si="5"/>
        <v>0</v>
      </c>
      <c r="G55" s="31">
        <f t="shared" si="11"/>
        <v>-52199.798325646196</v>
      </c>
      <c r="H55" s="32">
        <f t="shared" si="6"/>
        <v>-261</v>
      </c>
      <c r="I55" s="33">
        <f t="shared" si="7"/>
        <v>-52460.798325646196</v>
      </c>
      <c r="J55" s="26"/>
      <c r="K55" s="34">
        <f t="shared" si="8"/>
        <v>17376.548325646123</v>
      </c>
      <c r="L55" s="35">
        <f t="shared" si="9"/>
        <v>-11294.756411669972</v>
      </c>
      <c r="M55" s="35">
        <f t="shared" si="15"/>
        <v>-289.6091387607687</v>
      </c>
      <c r="N55" s="34">
        <f t="shared" si="12"/>
        <v>-11584.365550430741</v>
      </c>
      <c r="O55" s="34">
        <f t="shared" si="1"/>
        <v>5792.1827752153822</v>
      </c>
      <c r="P55" s="26"/>
      <c r="Q55" s="36">
        <f t="shared" si="2"/>
        <v>261</v>
      </c>
      <c r="R55" s="36">
        <f t="shared" si="3"/>
        <v>-261</v>
      </c>
      <c r="S55" s="35"/>
      <c r="T55" s="35">
        <f t="shared" si="13"/>
        <v>289.6091387607687</v>
      </c>
      <c r="U55" s="35">
        <f t="shared" si="14"/>
        <v>-289.6091387607687</v>
      </c>
    </row>
    <row r="56" spans="1:21" x14ac:dyDescent="0.2">
      <c r="A56" s="20">
        <f t="shared" si="4"/>
        <v>41</v>
      </c>
      <c r="B56" s="21">
        <f t="shared" si="10"/>
        <v>44344</v>
      </c>
      <c r="C56" s="22">
        <v>0</v>
      </c>
      <c r="D56" s="30">
        <f t="shared" si="0"/>
        <v>0.81506354296476591</v>
      </c>
      <c r="E56" s="23">
        <f t="shared" si="5"/>
        <v>0</v>
      </c>
      <c r="G56" s="31">
        <f t="shared" si="11"/>
        <v>-52460.798325646196</v>
      </c>
      <c r="H56" s="32">
        <f t="shared" si="6"/>
        <v>-262.3</v>
      </c>
      <c r="I56" s="33">
        <f t="shared" si="7"/>
        <v>-52723.098325646199</v>
      </c>
      <c r="J56" s="26"/>
      <c r="K56" s="34">
        <f t="shared" si="8"/>
        <v>17376.548325646123</v>
      </c>
      <c r="L56" s="35">
        <f t="shared" si="9"/>
        <v>-11584.365550430741</v>
      </c>
      <c r="M56" s="35">
        <f t="shared" si="15"/>
        <v>-289.6091387607687</v>
      </c>
      <c r="N56" s="34">
        <f t="shared" si="12"/>
        <v>-11873.974689191509</v>
      </c>
      <c r="O56" s="34">
        <f t="shared" si="1"/>
        <v>5502.5736364546137</v>
      </c>
      <c r="P56" s="26"/>
      <c r="Q56" s="36">
        <f t="shared" si="2"/>
        <v>262.3</v>
      </c>
      <c r="R56" s="36">
        <f t="shared" si="3"/>
        <v>-262.3</v>
      </c>
      <c r="S56" s="35"/>
      <c r="T56" s="35">
        <f t="shared" si="13"/>
        <v>289.6091387607687</v>
      </c>
      <c r="U56" s="35">
        <f t="shared" si="14"/>
        <v>-289.6091387607687</v>
      </c>
    </row>
    <row r="57" spans="1:21" x14ac:dyDescent="0.2">
      <c r="A57" s="20">
        <f t="shared" si="4"/>
        <v>42</v>
      </c>
      <c r="B57" s="21">
        <f t="shared" si="10"/>
        <v>44375</v>
      </c>
      <c r="C57" s="22">
        <v>0</v>
      </c>
      <c r="D57" s="30">
        <f t="shared" si="0"/>
        <v>0.81100850046245387</v>
      </c>
      <c r="E57" s="23">
        <f t="shared" si="5"/>
        <v>0</v>
      </c>
      <c r="G57" s="31">
        <f t="shared" si="11"/>
        <v>-52723.098325646199</v>
      </c>
      <c r="H57" s="32">
        <f t="shared" si="6"/>
        <v>-263.62</v>
      </c>
      <c r="I57" s="33">
        <f t="shared" si="7"/>
        <v>-52986.718325646201</v>
      </c>
      <c r="J57" s="26"/>
      <c r="K57" s="34">
        <f t="shared" si="8"/>
        <v>17376.548325646123</v>
      </c>
      <c r="L57" s="35">
        <f t="shared" si="9"/>
        <v>-11873.974689191509</v>
      </c>
      <c r="M57" s="35">
        <f t="shared" si="15"/>
        <v>-289.6091387607687</v>
      </c>
      <c r="N57" s="34">
        <f t="shared" si="12"/>
        <v>-12163.583827952278</v>
      </c>
      <c r="O57" s="34">
        <f t="shared" si="1"/>
        <v>5212.9644976938453</v>
      </c>
      <c r="P57" s="26"/>
      <c r="Q57" s="36">
        <f t="shared" si="2"/>
        <v>263.62</v>
      </c>
      <c r="R57" s="36">
        <f t="shared" si="3"/>
        <v>-263.62</v>
      </c>
      <c r="S57" s="35"/>
      <c r="T57" s="35">
        <f t="shared" si="13"/>
        <v>289.6091387607687</v>
      </c>
      <c r="U57" s="35">
        <f t="shared" si="14"/>
        <v>-289.6091387607687</v>
      </c>
    </row>
    <row r="58" spans="1:21" x14ac:dyDescent="0.2">
      <c r="A58" s="20">
        <f t="shared" si="4"/>
        <v>43</v>
      </c>
      <c r="B58" s="21">
        <f t="shared" si="10"/>
        <v>44405</v>
      </c>
      <c r="C58" s="22">
        <v>0</v>
      </c>
      <c r="D58" s="30">
        <f t="shared" si="0"/>
        <v>0.8069736323009491</v>
      </c>
      <c r="E58" s="23">
        <f t="shared" si="5"/>
        <v>0</v>
      </c>
      <c r="G58" s="31">
        <f t="shared" si="11"/>
        <v>-52986.718325646201</v>
      </c>
      <c r="H58" s="32">
        <f t="shared" si="6"/>
        <v>-264.93</v>
      </c>
      <c r="I58" s="33">
        <f t="shared" si="7"/>
        <v>-53251.648325646202</v>
      </c>
      <c r="J58" s="26"/>
      <c r="K58" s="34">
        <f t="shared" si="8"/>
        <v>17376.548325646123</v>
      </c>
      <c r="L58" s="35">
        <f t="shared" si="9"/>
        <v>-12163.583827952278</v>
      </c>
      <c r="M58" s="35">
        <f t="shared" si="15"/>
        <v>-289.6091387607687</v>
      </c>
      <c r="N58" s="34">
        <f t="shared" si="12"/>
        <v>-12453.192966713046</v>
      </c>
      <c r="O58" s="34">
        <f t="shared" si="1"/>
        <v>4923.3553589330768</v>
      </c>
      <c r="P58" s="26"/>
      <c r="Q58" s="36">
        <f t="shared" si="2"/>
        <v>264.93</v>
      </c>
      <c r="R58" s="36">
        <f t="shared" si="3"/>
        <v>-264.93</v>
      </c>
      <c r="S58" s="35"/>
      <c r="T58" s="35">
        <f t="shared" si="13"/>
        <v>289.6091387607687</v>
      </c>
      <c r="U58" s="35">
        <f t="shared" si="14"/>
        <v>-289.6091387607687</v>
      </c>
    </row>
    <row r="59" spans="1:21" x14ac:dyDescent="0.2">
      <c r="A59" s="20">
        <f t="shared" si="4"/>
        <v>44</v>
      </c>
      <c r="B59" s="21">
        <f t="shared" si="10"/>
        <v>44436</v>
      </c>
      <c r="C59" s="22">
        <v>0</v>
      </c>
      <c r="D59" s="30">
        <f t="shared" si="0"/>
        <v>0.80295883811039725</v>
      </c>
      <c r="E59" s="23">
        <f t="shared" si="5"/>
        <v>0</v>
      </c>
      <c r="G59" s="31">
        <f t="shared" si="11"/>
        <v>-53251.648325646202</v>
      </c>
      <c r="H59" s="32">
        <f t="shared" si="6"/>
        <v>-266.26</v>
      </c>
      <c r="I59" s="33">
        <f t="shared" si="7"/>
        <v>-53517.908325646204</v>
      </c>
      <c r="J59" s="26"/>
      <c r="K59" s="34">
        <f t="shared" si="8"/>
        <v>17376.548325646123</v>
      </c>
      <c r="L59" s="35">
        <f t="shared" si="9"/>
        <v>-12453.192966713046</v>
      </c>
      <c r="M59" s="35">
        <f t="shared" si="15"/>
        <v>-289.6091387607687</v>
      </c>
      <c r="N59" s="34">
        <f t="shared" si="12"/>
        <v>-12742.802105473815</v>
      </c>
      <c r="O59" s="34">
        <f t="shared" si="1"/>
        <v>4633.7462201723083</v>
      </c>
      <c r="P59" s="26"/>
      <c r="Q59" s="36">
        <f t="shared" si="2"/>
        <v>266.26</v>
      </c>
      <c r="R59" s="36">
        <f t="shared" si="3"/>
        <v>-266.26</v>
      </c>
      <c r="S59" s="35"/>
      <c r="T59" s="35">
        <f t="shared" si="13"/>
        <v>289.6091387607687</v>
      </c>
      <c r="U59" s="35">
        <f t="shared" si="14"/>
        <v>-289.6091387607687</v>
      </c>
    </row>
    <row r="60" spans="1:21" x14ac:dyDescent="0.2">
      <c r="A60" s="20">
        <f t="shared" si="4"/>
        <v>45</v>
      </c>
      <c r="B60" s="21">
        <f t="shared" si="10"/>
        <v>44467</v>
      </c>
      <c r="C60" s="22">
        <v>0</v>
      </c>
      <c r="D60" s="30">
        <f t="shared" si="0"/>
        <v>0.79896401802029604</v>
      </c>
      <c r="E60" s="23">
        <f t="shared" si="5"/>
        <v>0</v>
      </c>
      <c r="G60" s="31">
        <f t="shared" si="11"/>
        <v>-53517.908325646204</v>
      </c>
      <c r="H60" s="32">
        <f t="shared" si="6"/>
        <v>-267.58999999999997</v>
      </c>
      <c r="I60" s="33">
        <f t="shared" si="7"/>
        <v>-53785.4983256462</v>
      </c>
      <c r="J60" s="26"/>
      <c r="K60" s="34">
        <f t="shared" si="8"/>
        <v>17376.548325646123</v>
      </c>
      <c r="L60" s="35">
        <f t="shared" si="9"/>
        <v>-12742.802105473815</v>
      </c>
      <c r="M60" s="35">
        <f t="shared" si="15"/>
        <v>-289.6091387607687</v>
      </c>
      <c r="N60" s="34">
        <f t="shared" si="12"/>
        <v>-13032.411244234583</v>
      </c>
      <c r="O60" s="34">
        <f t="shared" si="1"/>
        <v>4344.1370814115398</v>
      </c>
      <c r="P60" s="26"/>
      <c r="Q60" s="36">
        <f t="shared" si="2"/>
        <v>267.58999999999997</v>
      </c>
      <c r="R60" s="36">
        <f t="shared" si="3"/>
        <v>-267.58999999999997</v>
      </c>
      <c r="S60" s="35"/>
      <c r="T60" s="35">
        <f t="shared" si="13"/>
        <v>289.6091387607687</v>
      </c>
      <c r="U60" s="35">
        <f t="shared" si="14"/>
        <v>-289.6091387607687</v>
      </c>
    </row>
    <row r="61" spans="1:21" x14ac:dyDescent="0.2">
      <c r="A61" s="20">
        <f t="shared" si="4"/>
        <v>46</v>
      </c>
      <c r="B61" s="21">
        <f t="shared" si="10"/>
        <v>44497</v>
      </c>
      <c r="C61" s="22">
        <v>0</v>
      </c>
      <c r="D61" s="30">
        <f t="shared" si="0"/>
        <v>0.79498907265701102</v>
      </c>
      <c r="E61" s="23">
        <f t="shared" si="5"/>
        <v>0</v>
      </c>
      <c r="G61" s="31">
        <f t="shared" si="11"/>
        <v>-53785.4983256462</v>
      </c>
      <c r="H61" s="32">
        <f t="shared" si="6"/>
        <v>-268.93</v>
      </c>
      <c r="I61" s="33">
        <f t="shared" si="7"/>
        <v>-54054.4283256462</v>
      </c>
      <c r="J61" s="26"/>
      <c r="K61" s="34">
        <f t="shared" si="8"/>
        <v>17376.548325646123</v>
      </c>
      <c r="L61" s="35">
        <f t="shared" si="9"/>
        <v>-13032.411244234583</v>
      </c>
      <c r="M61" s="35">
        <f t="shared" si="15"/>
        <v>-289.6091387607687</v>
      </c>
      <c r="N61" s="34">
        <f t="shared" si="12"/>
        <v>-13322.020382995352</v>
      </c>
      <c r="O61" s="34">
        <f t="shared" si="1"/>
        <v>4054.5279426507714</v>
      </c>
      <c r="P61" s="26"/>
      <c r="Q61" s="36">
        <f t="shared" si="2"/>
        <v>268.93</v>
      </c>
      <c r="R61" s="36">
        <f t="shared" si="3"/>
        <v>-268.93</v>
      </c>
      <c r="S61" s="35"/>
      <c r="T61" s="35">
        <f t="shared" si="13"/>
        <v>289.6091387607687</v>
      </c>
      <c r="U61" s="35">
        <f t="shared" si="14"/>
        <v>-289.6091387607687</v>
      </c>
    </row>
    <row r="62" spans="1:21" x14ac:dyDescent="0.2">
      <c r="A62" s="20">
        <f t="shared" si="4"/>
        <v>47</v>
      </c>
      <c r="B62" s="21">
        <f t="shared" si="10"/>
        <v>44528</v>
      </c>
      <c r="C62" s="22">
        <v>0</v>
      </c>
      <c r="D62" s="30">
        <f t="shared" si="0"/>
        <v>0.79103390314130473</v>
      </c>
      <c r="E62" s="23">
        <f t="shared" si="5"/>
        <v>0</v>
      </c>
      <c r="G62" s="31">
        <f t="shared" si="11"/>
        <v>-54054.4283256462</v>
      </c>
      <c r="H62" s="32">
        <f t="shared" si="6"/>
        <v>-270.27</v>
      </c>
      <c r="I62" s="33">
        <f t="shared" si="7"/>
        <v>-54324.698325646197</v>
      </c>
      <c r="J62" s="26"/>
      <c r="K62" s="34">
        <f t="shared" si="8"/>
        <v>17376.548325646123</v>
      </c>
      <c r="L62" s="35">
        <f t="shared" si="9"/>
        <v>-13322.020382995352</v>
      </c>
      <c r="M62" s="35">
        <f t="shared" si="15"/>
        <v>-289.6091387607687</v>
      </c>
      <c r="N62" s="34">
        <f t="shared" si="12"/>
        <v>-13611.62952175612</v>
      </c>
      <c r="O62" s="34">
        <f t="shared" si="1"/>
        <v>3764.9188038900029</v>
      </c>
      <c r="P62" s="26"/>
      <c r="Q62" s="36">
        <f t="shared" si="2"/>
        <v>270.27</v>
      </c>
      <c r="R62" s="36">
        <f t="shared" si="3"/>
        <v>-270.27</v>
      </c>
      <c r="S62" s="35"/>
      <c r="T62" s="35">
        <f t="shared" si="13"/>
        <v>289.6091387607687</v>
      </c>
      <c r="U62" s="35">
        <f t="shared" si="14"/>
        <v>-289.6091387607687</v>
      </c>
    </row>
    <row r="63" spans="1:21" x14ac:dyDescent="0.2">
      <c r="A63" s="20">
        <f t="shared" si="4"/>
        <v>48</v>
      </c>
      <c r="B63" s="21">
        <f t="shared" si="10"/>
        <v>44558</v>
      </c>
      <c r="C63" s="22">
        <v>0</v>
      </c>
      <c r="D63" s="30">
        <f t="shared" si="0"/>
        <v>0.78709841108587542</v>
      </c>
      <c r="E63" s="23">
        <f t="shared" si="5"/>
        <v>0</v>
      </c>
      <c r="G63" s="31">
        <f t="shared" si="11"/>
        <v>-54324.698325646197</v>
      </c>
      <c r="H63" s="32">
        <f t="shared" si="6"/>
        <v>-271.62</v>
      </c>
      <c r="I63" s="33">
        <f t="shared" si="7"/>
        <v>-54596.3183256462</v>
      </c>
      <c r="J63" s="26"/>
      <c r="K63" s="34">
        <f t="shared" si="8"/>
        <v>17376.548325646123</v>
      </c>
      <c r="L63" s="35">
        <f t="shared" si="9"/>
        <v>-13611.62952175612</v>
      </c>
      <c r="M63" s="35">
        <f t="shared" si="15"/>
        <v>-289.6091387607687</v>
      </c>
      <c r="N63" s="34">
        <f t="shared" si="12"/>
        <v>-13901.238660516889</v>
      </c>
      <c r="O63" s="34">
        <f t="shared" si="1"/>
        <v>3475.3096651292344</v>
      </c>
      <c r="P63" s="26"/>
      <c r="Q63" s="36">
        <f t="shared" si="2"/>
        <v>271.62</v>
      </c>
      <c r="R63" s="36">
        <f t="shared" si="3"/>
        <v>-271.62</v>
      </c>
      <c r="S63" s="35"/>
      <c r="T63" s="35">
        <f t="shared" si="13"/>
        <v>289.6091387607687</v>
      </c>
      <c r="U63" s="35">
        <f t="shared" si="14"/>
        <v>-289.6091387607687</v>
      </c>
    </row>
    <row r="64" spans="1:21" x14ac:dyDescent="0.2">
      <c r="A64" s="20">
        <f t="shared" si="4"/>
        <v>49</v>
      </c>
      <c r="B64" s="21">
        <f t="shared" si="10"/>
        <v>44589</v>
      </c>
      <c r="C64" s="22">
        <v>0</v>
      </c>
      <c r="D64" s="30">
        <f t="shared" si="0"/>
        <v>0.78318249859291089</v>
      </c>
      <c r="E64" s="23">
        <f t="shared" si="5"/>
        <v>0</v>
      </c>
      <c r="G64" s="31">
        <f t="shared" si="11"/>
        <v>-54596.3183256462</v>
      </c>
      <c r="H64" s="32">
        <f t="shared" si="6"/>
        <v>-272.98</v>
      </c>
      <c r="I64" s="33">
        <f t="shared" si="7"/>
        <v>-54869.298325646203</v>
      </c>
      <c r="J64" s="26"/>
      <c r="K64" s="34">
        <f t="shared" si="8"/>
        <v>17376.548325646123</v>
      </c>
      <c r="L64" s="35">
        <f t="shared" si="9"/>
        <v>-13901.238660516889</v>
      </c>
      <c r="M64" s="35">
        <f t="shared" si="15"/>
        <v>-289.6091387607687</v>
      </c>
      <c r="N64" s="34">
        <f t="shared" si="12"/>
        <v>-14190.847799277657</v>
      </c>
      <c r="O64" s="34">
        <f t="shared" si="1"/>
        <v>3185.7005263684659</v>
      </c>
      <c r="P64" s="26"/>
      <c r="Q64" s="36">
        <f t="shared" si="2"/>
        <v>272.98</v>
      </c>
      <c r="R64" s="36">
        <f t="shared" si="3"/>
        <v>-272.98</v>
      </c>
      <c r="S64" s="35"/>
      <c r="T64" s="35">
        <f t="shared" si="13"/>
        <v>289.6091387607687</v>
      </c>
      <c r="U64" s="35">
        <f t="shared" si="14"/>
        <v>-289.6091387607687</v>
      </c>
    </row>
    <row r="65" spans="1:21" x14ac:dyDescent="0.2">
      <c r="A65" s="20">
        <f t="shared" si="4"/>
        <v>50</v>
      </c>
      <c r="B65" s="21">
        <f t="shared" si="10"/>
        <v>44620</v>
      </c>
      <c r="C65" s="22">
        <v>0</v>
      </c>
      <c r="D65" s="30">
        <f t="shared" si="0"/>
        <v>0.77928606825165292</v>
      </c>
      <c r="E65" s="23">
        <f t="shared" si="5"/>
        <v>0</v>
      </c>
      <c r="G65" s="31">
        <f t="shared" si="11"/>
        <v>-54869.298325646203</v>
      </c>
      <c r="H65" s="32">
        <f t="shared" si="6"/>
        <v>-274.35000000000002</v>
      </c>
      <c r="I65" s="33">
        <f t="shared" si="7"/>
        <v>-55143.648325646202</v>
      </c>
      <c r="J65" s="26"/>
      <c r="K65" s="34">
        <f t="shared" si="8"/>
        <v>17376.548325646123</v>
      </c>
      <c r="L65" s="35">
        <f t="shared" si="9"/>
        <v>-14190.847799277657</v>
      </c>
      <c r="M65" s="35">
        <f t="shared" si="15"/>
        <v>-289.6091387607687</v>
      </c>
      <c r="N65" s="34">
        <f t="shared" si="12"/>
        <v>-14480.456938038426</v>
      </c>
      <c r="O65" s="34">
        <f t="shared" si="1"/>
        <v>2896.0913876076975</v>
      </c>
      <c r="P65" s="26"/>
      <c r="Q65" s="36">
        <f t="shared" si="2"/>
        <v>274.35000000000002</v>
      </c>
      <c r="R65" s="36">
        <f t="shared" si="3"/>
        <v>-274.35000000000002</v>
      </c>
      <c r="S65" s="35"/>
      <c r="T65" s="35">
        <f t="shared" si="13"/>
        <v>289.6091387607687</v>
      </c>
      <c r="U65" s="35">
        <f t="shared" si="14"/>
        <v>-289.6091387607687</v>
      </c>
    </row>
    <row r="66" spans="1:21" x14ac:dyDescent="0.2">
      <c r="A66" s="20">
        <f t="shared" si="4"/>
        <v>51</v>
      </c>
      <c r="B66" s="21">
        <f t="shared" si="10"/>
        <v>44648</v>
      </c>
      <c r="C66" s="22">
        <v>0</v>
      </c>
      <c r="D66" s="30">
        <f t="shared" si="0"/>
        <v>0.77540902313597315</v>
      </c>
      <c r="E66" s="23">
        <f t="shared" si="5"/>
        <v>0</v>
      </c>
      <c r="G66" s="31">
        <f t="shared" si="11"/>
        <v>-55143.648325646202</v>
      </c>
      <c r="H66" s="32">
        <f t="shared" si="6"/>
        <v>-275.72000000000003</v>
      </c>
      <c r="I66" s="33">
        <f t="shared" si="7"/>
        <v>-55419.368325646203</v>
      </c>
      <c r="J66" s="26"/>
      <c r="K66" s="34">
        <f t="shared" si="8"/>
        <v>17376.548325646123</v>
      </c>
      <c r="L66" s="35">
        <f t="shared" si="9"/>
        <v>-14480.456938038426</v>
      </c>
      <c r="M66" s="35">
        <f t="shared" si="15"/>
        <v>-289.6091387607687</v>
      </c>
      <c r="N66" s="34">
        <f t="shared" si="12"/>
        <v>-14770.066076799194</v>
      </c>
      <c r="O66" s="34">
        <f t="shared" si="1"/>
        <v>2606.482248846929</v>
      </c>
      <c r="P66" s="26"/>
      <c r="Q66" s="36">
        <f t="shared" si="2"/>
        <v>275.72000000000003</v>
      </c>
      <c r="R66" s="36">
        <f t="shared" si="3"/>
        <v>-275.72000000000003</v>
      </c>
      <c r="S66" s="35"/>
      <c r="T66" s="35">
        <f t="shared" si="13"/>
        <v>289.6091387607687</v>
      </c>
      <c r="U66" s="35">
        <f t="shared" si="14"/>
        <v>-289.6091387607687</v>
      </c>
    </row>
    <row r="67" spans="1:21" x14ac:dyDescent="0.2">
      <c r="A67" s="20">
        <f t="shared" si="4"/>
        <v>52</v>
      </c>
      <c r="B67" s="21">
        <f t="shared" si="10"/>
        <v>44679</v>
      </c>
      <c r="C67" s="22">
        <v>0</v>
      </c>
      <c r="D67" s="30">
        <f t="shared" si="0"/>
        <v>0.7715512668019634</v>
      </c>
      <c r="E67" s="23">
        <f t="shared" si="5"/>
        <v>0</v>
      </c>
      <c r="G67" s="31">
        <f t="shared" si="11"/>
        <v>-55419.368325646203</v>
      </c>
      <c r="H67" s="32">
        <f t="shared" si="6"/>
        <v>-277.10000000000002</v>
      </c>
      <c r="I67" s="33">
        <f t="shared" si="7"/>
        <v>-55696.468325646201</v>
      </c>
      <c r="J67" s="26"/>
      <c r="K67" s="34">
        <f t="shared" si="8"/>
        <v>17376.548325646123</v>
      </c>
      <c r="L67" s="35">
        <f t="shared" si="9"/>
        <v>-14770.066076799194</v>
      </c>
      <c r="M67" s="35">
        <f t="shared" si="15"/>
        <v>-289.6091387607687</v>
      </c>
      <c r="N67" s="34">
        <f t="shared" si="12"/>
        <v>-15059.675215559962</v>
      </c>
      <c r="O67" s="34">
        <f t="shared" si="1"/>
        <v>2316.8731100861605</v>
      </c>
      <c r="P67" s="26"/>
      <c r="Q67" s="36">
        <f t="shared" si="2"/>
        <v>277.10000000000002</v>
      </c>
      <c r="R67" s="36">
        <f t="shared" si="3"/>
        <v>-277.10000000000002</v>
      </c>
      <c r="S67" s="35"/>
      <c r="T67" s="35">
        <f t="shared" si="13"/>
        <v>289.6091387607687</v>
      </c>
      <c r="U67" s="35">
        <f t="shared" si="14"/>
        <v>-289.6091387607687</v>
      </c>
    </row>
    <row r="68" spans="1:21" x14ac:dyDescent="0.2">
      <c r="A68" s="20">
        <f t="shared" si="4"/>
        <v>53</v>
      </c>
      <c r="B68" s="21">
        <f t="shared" si="10"/>
        <v>44709</v>
      </c>
      <c r="C68" s="22">
        <v>0</v>
      </c>
      <c r="D68" s="30">
        <f t="shared" si="0"/>
        <v>0.76771270328553587</v>
      </c>
      <c r="E68" s="23">
        <f t="shared" si="5"/>
        <v>0</v>
      </c>
      <c r="G68" s="31">
        <f t="shared" si="11"/>
        <v>-55696.468325646201</v>
      </c>
      <c r="H68" s="32">
        <f t="shared" si="6"/>
        <v>-278.48</v>
      </c>
      <c r="I68" s="33">
        <f t="shared" si="7"/>
        <v>-55974.948325646204</v>
      </c>
      <c r="J68" s="26"/>
      <c r="K68" s="34">
        <f t="shared" si="8"/>
        <v>17376.548325646123</v>
      </c>
      <c r="L68" s="35">
        <f t="shared" si="9"/>
        <v>-15059.675215559962</v>
      </c>
      <c r="M68" s="35">
        <f t="shared" si="15"/>
        <v>-289.6091387607687</v>
      </c>
      <c r="N68" s="34">
        <f t="shared" si="12"/>
        <v>-15349.284354320731</v>
      </c>
      <c r="O68" s="34">
        <f t="shared" si="1"/>
        <v>2027.263971325392</v>
      </c>
      <c r="P68" s="26"/>
      <c r="Q68" s="36">
        <f t="shared" si="2"/>
        <v>278.48</v>
      </c>
      <c r="R68" s="36">
        <f t="shared" si="3"/>
        <v>-278.48</v>
      </c>
      <c r="S68" s="35"/>
      <c r="T68" s="35">
        <f t="shared" si="13"/>
        <v>289.6091387607687</v>
      </c>
      <c r="U68" s="35">
        <f t="shared" si="14"/>
        <v>-289.6091387607687</v>
      </c>
    </row>
    <row r="69" spans="1:21" x14ac:dyDescent="0.2">
      <c r="A69" s="20">
        <f t="shared" si="4"/>
        <v>54</v>
      </c>
      <c r="B69" s="21">
        <f t="shared" si="10"/>
        <v>44740</v>
      </c>
      <c r="C69" s="22">
        <v>0</v>
      </c>
      <c r="D69" s="30">
        <f>(1+D$11)^-A69</f>
        <v>0.76389323710003587</v>
      </c>
      <c r="E69" s="23">
        <f t="shared" si="5"/>
        <v>0</v>
      </c>
      <c r="G69" s="31">
        <f t="shared" si="11"/>
        <v>-55974.948325646204</v>
      </c>
      <c r="H69" s="32">
        <f t="shared" si="6"/>
        <v>-279.87</v>
      </c>
      <c r="I69" s="33">
        <f t="shared" si="7"/>
        <v>-56254.818325646207</v>
      </c>
      <c r="J69" s="26"/>
      <c r="K69" s="34">
        <f t="shared" si="8"/>
        <v>17376.548325646123</v>
      </c>
      <c r="L69" s="35">
        <f t="shared" si="9"/>
        <v>-15349.284354320731</v>
      </c>
      <c r="M69" s="35">
        <f t="shared" si="15"/>
        <v>-289.6091387607687</v>
      </c>
      <c r="N69" s="34">
        <f t="shared" si="12"/>
        <v>-15638.893493081499</v>
      </c>
      <c r="O69" s="34">
        <f t="shared" si="1"/>
        <v>1737.6548325646236</v>
      </c>
      <c r="P69" s="26"/>
      <c r="Q69" s="36">
        <f t="shared" si="2"/>
        <v>279.87</v>
      </c>
      <c r="R69" s="36">
        <f t="shared" si="3"/>
        <v>-279.87</v>
      </c>
      <c r="S69" s="35"/>
      <c r="T69" s="35">
        <f t="shared" si="13"/>
        <v>289.6091387607687</v>
      </c>
      <c r="U69" s="35">
        <f t="shared" si="14"/>
        <v>-289.6091387607687</v>
      </c>
    </row>
    <row r="70" spans="1:21" x14ac:dyDescent="0.2">
      <c r="A70" s="20">
        <f t="shared" si="4"/>
        <v>55</v>
      </c>
      <c r="B70" s="21">
        <f t="shared" si="10"/>
        <v>44770</v>
      </c>
      <c r="C70" s="22">
        <v>0</v>
      </c>
      <c r="D70" s="30">
        <f t="shared" si="0"/>
        <v>0.76009277323386659</v>
      </c>
      <c r="E70" s="23">
        <f t="shared" si="5"/>
        <v>0</v>
      </c>
      <c r="G70" s="31">
        <f t="shared" si="11"/>
        <v>-56254.818325646207</v>
      </c>
      <c r="H70" s="32">
        <f t="shared" si="6"/>
        <v>-281.27</v>
      </c>
      <c r="I70" s="33">
        <f t="shared" si="7"/>
        <v>-56536.088325646204</v>
      </c>
      <c r="J70" s="26"/>
      <c r="K70" s="34">
        <f t="shared" si="8"/>
        <v>17376.548325646123</v>
      </c>
      <c r="L70" s="35">
        <f t="shared" si="9"/>
        <v>-15638.893493081499</v>
      </c>
      <c r="M70" s="35">
        <f t="shared" si="15"/>
        <v>-289.6091387607687</v>
      </c>
      <c r="N70" s="34">
        <f t="shared" si="12"/>
        <v>-15928.502631842268</v>
      </c>
      <c r="O70" s="34">
        <f t="shared" si="1"/>
        <v>1448.0456938038551</v>
      </c>
      <c r="P70" s="26"/>
      <c r="Q70" s="36">
        <f t="shared" si="2"/>
        <v>281.27</v>
      </c>
      <c r="R70" s="36">
        <f t="shared" si="3"/>
        <v>-281.27</v>
      </c>
      <c r="S70" s="35"/>
      <c r="T70" s="35">
        <f t="shared" si="13"/>
        <v>289.6091387607687</v>
      </c>
      <c r="U70" s="35">
        <f t="shared" si="14"/>
        <v>-289.6091387607687</v>
      </c>
    </row>
    <row r="71" spans="1:21" x14ac:dyDescent="0.2">
      <c r="A71" s="20">
        <f t="shared" si="4"/>
        <v>56</v>
      </c>
      <c r="B71" s="21">
        <f t="shared" si="10"/>
        <v>44801</v>
      </c>
      <c r="C71" s="22">
        <v>0</v>
      </c>
      <c r="D71" s="30">
        <f t="shared" si="0"/>
        <v>0.75631121714812588</v>
      </c>
      <c r="E71" s="23">
        <f t="shared" si="5"/>
        <v>0</v>
      </c>
      <c r="G71" s="31">
        <f t="shared" si="11"/>
        <v>-56536.088325646204</v>
      </c>
      <c r="H71" s="32">
        <f t="shared" si="6"/>
        <v>-282.68</v>
      </c>
      <c r="I71" s="33">
        <f t="shared" si="7"/>
        <v>-56818.768325646204</v>
      </c>
      <c r="J71" s="26"/>
      <c r="K71" s="34">
        <f t="shared" si="8"/>
        <v>17376.548325646123</v>
      </c>
      <c r="L71" s="35">
        <f t="shared" si="9"/>
        <v>-15928.502631842268</v>
      </c>
      <c r="M71" s="35">
        <f t="shared" si="15"/>
        <v>-289.6091387607687</v>
      </c>
      <c r="N71" s="34">
        <f t="shared" si="12"/>
        <v>-16218.111770603036</v>
      </c>
      <c r="O71" s="34">
        <f t="shared" si="1"/>
        <v>1158.4365550430866</v>
      </c>
      <c r="P71" s="26"/>
      <c r="Q71" s="36">
        <f t="shared" si="2"/>
        <v>282.68</v>
      </c>
      <c r="R71" s="36">
        <f t="shared" si="3"/>
        <v>-282.68</v>
      </c>
      <c r="S71" s="35"/>
      <c r="T71" s="35">
        <f t="shared" si="13"/>
        <v>289.6091387607687</v>
      </c>
      <c r="U71" s="35">
        <f t="shared" si="14"/>
        <v>-289.6091387607687</v>
      </c>
    </row>
    <row r="72" spans="1:21" x14ac:dyDescent="0.2">
      <c r="A72" s="20">
        <f t="shared" si="4"/>
        <v>57</v>
      </c>
      <c r="B72" s="21">
        <f t="shared" si="10"/>
        <v>44832</v>
      </c>
      <c r="C72" s="22">
        <v>0</v>
      </c>
      <c r="D72" s="30">
        <f t="shared" si="0"/>
        <v>0.75254847477425479</v>
      </c>
      <c r="E72" s="23">
        <f t="shared" si="5"/>
        <v>0</v>
      </c>
      <c r="G72" s="31">
        <f t="shared" si="11"/>
        <v>-56818.768325646204</v>
      </c>
      <c r="H72" s="32">
        <f t="shared" si="6"/>
        <v>-284.08999999999997</v>
      </c>
      <c r="I72" s="33">
        <f t="shared" si="7"/>
        <v>-57102.858325646201</v>
      </c>
      <c r="J72" s="26"/>
      <c r="K72" s="34">
        <f t="shared" si="8"/>
        <v>17376.548325646123</v>
      </c>
      <c r="L72" s="35">
        <f t="shared" si="9"/>
        <v>-16218.111770603036</v>
      </c>
      <c r="M72" s="35">
        <f t="shared" si="15"/>
        <v>-289.6091387607687</v>
      </c>
      <c r="N72" s="34">
        <f t="shared" si="12"/>
        <v>-16507.720909363805</v>
      </c>
      <c r="O72" s="34">
        <f t="shared" si="1"/>
        <v>868.82741628231815</v>
      </c>
      <c r="P72" s="26"/>
      <c r="Q72" s="36">
        <f t="shared" si="2"/>
        <v>284.08999999999997</v>
      </c>
      <c r="R72" s="36">
        <f t="shared" si="3"/>
        <v>-284.08999999999997</v>
      </c>
      <c r="S72" s="35"/>
      <c r="T72" s="35">
        <f t="shared" si="13"/>
        <v>289.6091387607687</v>
      </c>
      <c r="U72" s="35">
        <f t="shared" si="14"/>
        <v>-289.6091387607687</v>
      </c>
    </row>
    <row r="73" spans="1:21" x14ac:dyDescent="0.2">
      <c r="A73" s="20">
        <f t="shared" si="4"/>
        <v>58</v>
      </c>
      <c r="B73" s="21">
        <f t="shared" si="10"/>
        <v>44862</v>
      </c>
      <c r="C73" s="22">
        <v>0</v>
      </c>
      <c r="D73" s="30">
        <f t="shared" si="0"/>
        <v>0.74880445251169647</v>
      </c>
      <c r="E73" s="23">
        <f t="shared" si="5"/>
        <v>0</v>
      </c>
      <c r="G73" s="31">
        <f t="shared" si="11"/>
        <v>-57102.858325646201</v>
      </c>
      <c r="H73" s="32">
        <f t="shared" si="6"/>
        <v>-285.51</v>
      </c>
      <c r="I73" s="33">
        <f t="shared" si="7"/>
        <v>-57388.368325646203</v>
      </c>
      <c r="J73" s="26"/>
      <c r="K73" s="34">
        <f t="shared" si="8"/>
        <v>17376.548325646123</v>
      </c>
      <c r="L73" s="35">
        <f t="shared" si="9"/>
        <v>-16507.720909363805</v>
      </c>
      <c r="M73" s="35">
        <f t="shared" si="15"/>
        <v>-289.6091387607687</v>
      </c>
      <c r="N73" s="34">
        <f t="shared" si="12"/>
        <v>-16797.330048124575</v>
      </c>
      <c r="O73" s="34">
        <f t="shared" si="1"/>
        <v>579.21827752154786</v>
      </c>
      <c r="P73" s="26"/>
      <c r="Q73" s="36">
        <f t="shared" si="2"/>
        <v>285.51</v>
      </c>
      <c r="R73" s="36">
        <f t="shared" si="3"/>
        <v>-285.51</v>
      </c>
      <c r="S73" s="35"/>
      <c r="T73" s="35">
        <f t="shared" si="13"/>
        <v>289.6091387607687</v>
      </c>
      <c r="U73" s="35">
        <f t="shared" si="14"/>
        <v>-289.6091387607687</v>
      </c>
    </row>
    <row r="74" spans="1:21" x14ac:dyDescent="0.2">
      <c r="A74" s="20">
        <f t="shared" si="4"/>
        <v>59</v>
      </c>
      <c r="B74" s="21">
        <f t="shared" si="10"/>
        <v>44893</v>
      </c>
      <c r="C74" s="22">
        <v>0</v>
      </c>
      <c r="D74" s="30">
        <f t="shared" si="0"/>
        <v>0.74507905722556877</v>
      </c>
      <c r="E74" s="23">
        <f t="shared" si="5"/>
        <v>0</v>
      </c>
      <c r="G74" s="31">
        <f t="shared" si="11"/>
        <v>-57388.368325646203</v>
      </c>
      <c r="H74" s="32">
        <f t="shared" si="6"/>
        <v>-286.94</v>
      </c>
      <c r="I74" s="33">
        <f t="shared" si="7"/>
        <v>-57675.308325646205</v>
      </c>
      <c r="J74" s="26"/>
      <c r="K74" s="34">
        <f t="shared" si="8"/>
        <v>17376.548325646123</v>
      </c>
      <c r="L74" s="35">
        <f t="shared" si="9"/>
        <v>-16797.330048124575</v>
      </c>
      <c r="M74" s="35">
        <f t="shared" si="15"/>
        <v>-289.6091387607687</v>
      </c>
      <c r="N74" s="34">
        <f t="shared" si="12"/>
        <v>-17086.939186885345</v>
      </c>
      <c r="O74" s="34">
        <f t="shared" si="1"/>
        <v>289.60913876077757</v>
      </c>
      <c r="P74" s="26"/>
      <c r="Q74" s="36">
        <f t="shared" si="2"/>
        <v>286.94</v>
      </c>
      <c r="R74" s="36">
        <f t="shared" si="3"/>
        <v>-286.94</v>
      </c>
      <c r="S74" s="35"/>
      <c r="T74" s="35">
        <f t="shared" si="13"/>
        <v>289.6091387607687</v>
      </c>
      <c r="U74" s="35">
        <f t="shared" si="14"/>
        <v>-289.6091387607687</v>
      </c>
    </row>
    <row r="75" spans="1:21" ht="13.5" thickBot="1" x14ac:dyDescent="0.25">
      <c r="A75" s="37">
        <f t="shared" si="4"/>
        <v>60</v>
      </c>
      <c r="B75" s="38">
        <f t="shared" si="10"/>
        <v>44923</v>
      </c>
      <c r="C75" s="39">
        <f>-IF('2-Renewal Terms'!G15="NO",0,IF('2-Renewal Terms'!H15="INCREASE",'2-Renewal Terms'!G14,'2-Renewal Terms'!G12))</f>
        <v>-57963.703714999996</v>
      </c>
      <c r="D75" s="40">
        <f>(1+D$11)^-A75</f>
        <v>0.74137219624434714</v>
      </c>
      <c r="E75" s="39">
        <f>C75*D75</f>
        <v>-42972.678325646171</v>
      </c>
      <c r="F75" s="79"/>
      <c r="G75" s="41">
        <f t="shared" si="11"/>
        <v>-57675.308325646205</v>
      </c>
      <c r="H75" s="78">
        <f t="shared" si="6"/>
        <v>-288.38</v>
      </c>
      <c r="I75" s="42">
        <f t="shared" si="7"/>
        <v>-57963.688325646202</v>
      </c>
      <c r="J75" s="43"/>
      <c r="K75" s="44">
        <f t="shared" si="8"/>
        <v>17376.548325646123</v>
      </c>
      <c r="L75" s="45">
        <f t="shared" si="9"/>
        <v>-17086.939186885345</v>
      </c>
      <c r="M75" s="45">
        <f t="shared" si="15"/>
        <v>-289.6091387607687</v>
      </c>
      <c r="N75" s="44">
        <f t="shared" si="12"/>
        <v>-17376.548325646116</v>
      </c>
      <c r="O75" s="44">
        <f t="shared" si="1"/>
        <v>0</v>
      </c>
      <c r="P75" s="43"/>
      <c r="Q75" s="46">
        <f t="shared" si="2"/>
        <v>288.38</v>
      </c>
      <c r="R75" s="46">
        <f t="shared" si="3"/>
        <v>-288.38</v>
      </c>
      <c r="S75" s="45"/>
      <c r="T75" s="45">
        <f t="shared" si="13"/>
        <v>289.6091387607687</v>
      </c>
      <c r="U75" s="45">
        <f t="shared" si="14"/>
        <v>-289.6091387607687</v>
      </c>
    </row>
    <row r="76" spans="1:21" x14ac:dyDescent="0.2">
      <c r="A76" s="20"/>
      <c r="B76" s="21"/>
      <c r="C76" s="22"/>
      <c r="D76" s="30"/>
      <c r="E76" s="28"/>
      <c r="G76" s="24"/>
      <c r="H76" s="55" t="s">
        <v>92</v>
      </c>
      <c r="I76" s="113">
        <f>IF('2-Renewal Terms'!H15="INCREASE",-'2-Renewal Terms'!G14,-'2-Renewal Terms'!G12)</f>
        <v>-57963.703714999996</v>
      </c>
      <c r="J76" s="27"/>
      <c r="K76" s="47"/>
      <c r="L76" s="27"/>
      <c r="M76" s="48"/>
      <c r="N76" s="115" t="s">
        <v>88</v>
      </c>
      <c r="O76" s="127">
        <v>0</v>
      </c>
      <c r="P76" s="26"/>
      <c r="Q76" s="27"/>
      <c r="R76" s="27"/>
      <c r="S76" s="26"/>
      <c r="T76" s="26"/>
      <c r="U76" s="26"/>
    </row>
    <row r="77" spans="1:21" x14ac:dyDescent="0.2">
      <c r="A77" s="20"/>
      <c r="B77" s="21"/>
      <c r="D77" s="30"/>
      <c r="E77" s="49"/>
      <c r="G77" s="24"/>
      <c r="H77" s="55" t="s">
        <v>82</v>
      </c>
      <c r="I77" s="113">
        <f>I75-I76</f>
        <v>1.5389353793580085E-2</v>
      </c>
      <c r="J77" s="26"/>
      <c r="K77" s="25"/>
      <c r="L77" s="26"/>
      <c r="N77" s="114" t="s">
        <v>82</v>
      </c>
      <c r="O77" s="115">
        <f>O75-O76</f>
        <v>0</v>
      </c>
      <c r="P77" s="26"/>
      <c r="Q77" s="35">
        <f>SUM(Q15:Q76)</f>
        <v>14991.010000000004</v>
      </c>
      <c r="R77" s="27"/>
      <c r="S77" s="26"/>
      <c r="T77" s="35">
        <f>SUM(T15:T76)</f>
        <v>17376.548325646116</v>
      </c>
      <c r="U77" s="26"/>
    </row>
    <row r="78" spans="1:21" x14ac:dyDescent="0.2">
      <c r="A78" s="4"/>
      <c r="B78" s="13" t="s">
        <v>25</v>
      </c>
      <c r="C78" s="51">
        <f>C11</f>
        <v>5.0000000000000001E-3</v>
      </c>
      <c r="D78" s="50"/>
    </row>
    <row r="79" spans="1:21" x14ac:dyDescent="0.2">
      <c r="A79" s="4"/>
      <c r="B79" s="13"/>
      <c r="C79" s="52"/>
    </row>
    <row r="80" spans="1:21" x14ac:dyDescent="0.2">
      <c r="A80" s="4"/>
      <c r="B80" s="53" t="s">
        <v>26</v>
      </c>
      <c r="C80" s="54">
        <f>NPV($C$78,$C16:$C$75)</f>
        <v>-42972.678325646055</v>
      </c>
      <c r="D80" s="26"/>
      <c r="E80" s="54">
        <f>E75</f>
        <v>-42972.678325646171</v>
      </c>
    </row>
    <row r="81" spans="1:9" x14ac:dyDescent="0.2">
      <c r="A81" s="4"/>
      <c r="B81" s="4"/>
      <c r="C81" s="4"/>
      <c r="D81" s="1"/>
      <c r="E81" s="116">
        <f>C80-E80</f>
        <v>1.1641532182693481E-10</v>
      </c>
      <c r="F81" s="117" t="s">
        <v>89</v>
      </c>
    </row>
    <row r="82" spans="1:9" x14ac:dyDescent="0.2">
      <c r="A82" s="4"/>
      <c r="B82" s="4"/>
      <c r="C82" s="4"/>
      <c r="E82" s="55"/>
    </row>
    <row r="83" spans="1:9" x14ac:dyDescent="0.2">
      <c r="A83" s="4"/>
      <c r="B83" s="4"/>
      <c r="C83" s="4"/>
      <c r="E83" s="56"/>
    </row>
    <row r="84" spans="1:9" x14ac:dyDescent="0.2">
      <c r="A84" s="4"/>
      <c r="B84" s="4"/>
      <c r="C84" s="85"/>
      <c r="D84" s="86"/>
      <c r="E84" s="87"/>
      <c r="H84" s="36"/>
    </row>
    <row r="85" spans="1:9" x14ac:dyDescent="0.2">
      <c r="A85" s="4"/>
      <c r="B85" s="4"/>
      <c r="C85" s="88"/>
      <c r="D85" s="89"/>
      <c r="E85" s="89"/>
      <c r="G85" s="60"/>
      <c r="H85" s="57"/>
    </row>
    <row r="86" spans="1:9" x14ac:dyDescent="0.2">
      <c r="A86" s="4"/>
      <c r="B86" s="4"/>
      <c r="C86" s="85"/>
      <c r="D86" s="90"/>
      <c r="E86" s="90"/>
      <c r="G86" s="61"/>
      <c r="H86" s="36"/>
      <c r="I86" s="58"/>
    </row>
    <row r="87" spans="1:9" x14ac:dyDescent="0.2">
      <c r="A87" s="4"/>
      <c r="B87" s="4"/>
      <c r="C87" s="68"/>
      <c r="D87" s="69"/>
      <c r="E87" s="90"/>
      <c r="G87" s="61"/>
    </row>
    <row r="88" spans="1:9" x14ac:dyDescent="0.2">
      <c r="A88" s="4"/>
      <c r="B88" s="4"/>
      <c r="C88" s="68"/>
      <c r="D88" s="69"/>
      <c r="E88" s="91"/>
      <c r="G88" s="62"/>
    </row>
    <row r="89" spans="1:9" x14ac:dyDescent="0.2">
      <c r="A89" s="4"/>
      <c r="B89" s="4"/>
      <c r="C89" s="68"/>
      <c r="D89" s="69"/>
      <c r="E89" s="69"/>
    </row>
    <row r="90" spans="1:9" x14ac:dyDescent="0.2">
      <c r="C90" s="4"/>
    </row>
    <row r="91" spans="1:9" x14ac:dyDescent="0.2">
      <c r="C91" s="4"/>
    </row>
    <row r="92" spans="1:9" x14ac:dyDescent="0.2">
      <c r="C92" s="4"/>
    </row>
    <row r="93" spans="1:9" x14ac:dyDescent="0.2">
      <c r="C93" s="4"/>
    </row>
    <row r="94" spans="1:9" x14ac:dyDescent="0.2">
      <c r="C94" s="4"/>
    </row>
    <row r="95" spans="1:9" x14ac:dyDescent="0.2">
      <c r="C95" s="4"/>
    </row>
    <row r="96" spans="1:9" x14ac:dyDescent="0.2">
      <c r="C96" s="4"/>
    </row>
    <row r="97" spans="3:3" x14ac:dyDescent="0.2">
      <c r="C97" s="4"/>
    </row>
    <row r="98" spans="3:3" x14ac:dyDescent="0.2">
      <c r="C98" s="4"/>
    </row>
    <row r="99" spans="3:3" x14ac:dyDescent="0.2">
      <c r="C99" s="4"/>
    </row>
    <row r="100" spans="3:3" x14ac:dyDescent="0.2">
      <c r="C100" s="4"/>
    </row>
    <row r="101" spans="3:3" x14ac:dyDescent="0.2">
      <c r="C101" s="4"/>
    </row>
    <row r="102" spans="3:3" x14ac:dyDescent="0.2">
      <c r="C102" s="4"/>
    </row>
    <row r="103" spans="3:3" x14ac:dyDescent="0.2">
      <c r="C103" s="4"/>
    </row>
    <row r="104" spans="3:3" x14ac:dyDescent="0.2">
      <c r="C104" s="4"/>
    </row>
    <row r="105" spans="3:3" x14ac:dyDescent="0.2">
      <c r="C105" s="4"/>
    </row>
    <row r="106" spans="3:3" x14ac:dyDescent="0.2">
      <c r="C106" s="4"/>
    </row>
    <row r="107" spans="3:3" x14ac:dyDescent="0.2">
      <c r="C107" s="4"/>
    </row>
    <row r="108" spans="3:3" x14ac:dyDescent="0.2">
      <c r="C108" s="4"/>
    </row>
    <row r="109" spans="3:3" x14ac:dyDescent="0.2">
      <c r="C109" s="4"/>
    </row>
    <row r="110" spans="3:3" x14ac:dyDescent="0.2">
      <c r="C110" s="4"/>
    </row>
    <row r="111" spans="3:3" x14ac:dyDescent="0.2">
      <c r="C111" s="4"/>
    </row>
    <row r="112" spans="3:3" x14ac:dyDescent="0.2">
      <c r="C112" s="4"/>
    </row>
    <row r="113" spans="3:3" x14ac:dyDescent="0.2">
      <c r="C113" s="4"/>
    </row>
    <row r="114" spans="3:3" x14ac:dyDescent="0.2">
      <c r="C114" s="4"/>
    </row>
    <row r="115" spans="3:3" x14ac:dyDescent="0.2">
      <c r="C115" s="4"/>
    </row>
    <row r="116" spans="3:3" x14ac:dyDescent="0.2">
      <c r="C116" s="4"/>
    </row>
    <row r="117" spans="3:3" x14ac:dyDescent="0.2">
      <c r="C117" s="4"/>
    </row>
    <row r="118" spans="3:3" x14ac:dyDescent="0.2">
      <c r="C118" s="4"/>
    </row>
    <row r="119" spans="3:3" x14ac:dyDescent="0.2">
      <c r="C119" s="4"/>
    </row>
    <row r="120" spans="3:3" x14ac:dyDescent="0.2">
      <c r="C120" s="4"/>
    </row>
    <row r="121" spans="3:3" x14ac:dyDescent="0.2">
      <c r="C121" s="4"/>
    </row>
    <row r="122" spans="3:3" x14ac:dyDescent="0.2">
      <c r="C122" s="4"/>
    </row>
    <row r="123" spans="3:3" x14ac:dyDescent="0.2">
      <c r="C123" s="4"/>
    </row>
    <row r="124" spans="3:3" x14ac:dyDescent="0.2">
      <c r="C124" s="4"/>
    </row>
    <row r="125" spans="3:3" x14ac:dyDescent="0.2">
      <c r="C125" s="4"/>
    </row>
    <row r="126" spans="3:3" x14ac:dyDescent="0.2">
      <c r="C126" s="4"/>
    </row>
    <row r="127" spans="3:3" x14ac:dyDescent="0.2">
      <c r="C127" s="4"/>
    </row>
    <row r="128" spans="3:3" x14ac:dyDescent="0.2">
      <c r="C128" s="4"/>
    </row>
    <row r="129" spans="3:3" x14ac:dyDescent="0.2">
      <c r="C129" s="4"/>
    </row>
    <row r="130" spans="3:3" x14ac:dyDescent="0.2">
      <c r="C130" s="4"/>
    </row>
    <row r="131" spans="3:3" x14ac:dyDescent="0.2">
      <c r="C131" s="4"/>
    </row>
    <row r="132" spans="3:3" x14ac:dyDescent="0.2">
      <c r="C132" s="4"/>
    </row>
    <row r="133" spans="3:3" x14ac:dyDescent="0.2">
      <c r="C133" s="4"/>
    </row>
    <row r="134" spans="3:3" x14ac:dyDescent="0.2">
      <c r="C134" s="4"/>
    </row>
    <row r="135" spans="3:3" x14ac:dyDescent="0.2">
      <c r="C135" s="4"/>
    </row>
    <row r="136" spans="3:3" x14ac:dyDescent="0.2">
      <c r="C136" s="4"/>
    </row>
    <row r="137" spans="3:3" x14ac:dyDescent="0.2">
      <c r="C137" s="4"/>
    </row>
    <row r="138" spans="3:3" x14ac:dyDescent="0.2">
      <c r="C138" s="4"/>
    </row>
    <row r="139" spans="3:3" x14ac:dyDescent="0.2">
      <c r="C139" s="4"/>
    </row>
    <row r="140" spans="3:3" x14ac:dyDescent="0.2">
      <c r="C140" s="4"/>
    </row>
    <row r="141" spans="3:3" x14ac:dyDescent="0.2">
      <c r="C141" s="4"/>
    </row>
    <row r="142" spans="3:3" x14ac:dyDescent="0.2">
      <c r="C142" s="4"/>
    </row>
    <row r="143" spans="3:3" x14ac:dyDescent="0.2">
      <c r="C143" s="4"/>
    </row>
    <row r="144" spans="3:3" x14ac:dyDescent="0.2">
      <c r="C144" s="4"/>
    </row>
    <row r="145" spans="3:3" x14ac:dyDescent="0.2">
      <c r="C145" s="4"/>
    </row>
    <row r="146" spans="3:3" x14ac:dyDescent="0.2">
      <c r="C146" s="4"/>
    </row>
    <row r="147" spans="3:3" x14ac:dyDescent="0.2">
      <c r="C147" s="4"/>
    </row>
    <row r="148" spans="3:3" x14ac:dyDescent="0.2">
      <c r="C148" s="4"/>
    </row>
    <row r="149" spans="3:3" x14ac:dyDescent="0.2">
      <c r="C149" s="4"/>
    </row>
    <row r="150" spans="3:3" x14ac:dyDescent="0.2">
      <c r="C150" s="4"/>
    </row>
    <row r="151" spans="3:3" x14ac:dyDescent="0.2">
      <c r="C151" s="4"/>
    </row>
    <row r="152" spans="3:3" x14ac:dyDescent="0.2">
      <c r="C152" s="4"/>
    </row>
    <row r="153" spans="3:3" x14ac:dyDescent="0.2">
      <c r="C153" s="4"/>
    </row>
    <row r="154" spans="3:3" x14ac:dyDescent="0.2">
      <c r="C154" s="4"/>
    </row>
    <row r="155" spans="3:3" x14ac:dyDescent="0.2">
      <c r="C155" s="4"/>
    </row>
    <row r="156" spans="3:3" x14ac:dyDescent="0.2">
      <c r="C156" s="4"/>
    </row>
    <row r="157" spans="3:3" x14ac:dyDescent="0.2">
      <c r="C157" s="4"/>
    </row>
    <row r="158" spans="3:3" x14ac:dyDescent="0.2">
      <c r="C158" s="4"/>
    </row>
    <row r="159" spans="3:3" x14ac:dyDescent="0.2">
      <c r="C159" s="4"/>
    </row>
    <row r="160" spans="3:3" x14ac:dyDescent="0.2">
      <c r="C160" s="4"/>
    </row>
    <row r="161" spans="3:3" x14ac:dyDescent="0.2">
      <c r="C161" s="4"/>
    </row>
    <row r="162" spans="3:3" x14ac:dyDescent="0.2">
      <c r="C162" s="4"/>
    </row>
    <row r="163" spans="3:3" x14ac:dyDescent="0.2">
      <c r="C163" s="4"/>
    </row>
    <row r="164" spans="3:3" x14ac:dyDescent="0.2">
      <c r="C164" s="4"/>
    </row>
    <row r="165" spans="3:3" x14ac:dyDescent="0.2">
      <c r="C165" s="4"/>
    </row>
    <row r="166" spans="3:3" x14ac:dyDescent="0.2">
      <c r="C166" s="4"/>
    </row>
    <row r="167" spans="3:3" x14ac:dyDescent="0.2">
      <c r="C167" s="4"/>
    </row>
    <row r="168" spans="3:3" x14ac:dyDescent="0.2">
      <c r="C168" s="4"/>
    </row>
    <row r="169" spans="3:3" x14ac:dyDescent="0.2">
      <c r="C169" s="4"/>
    </row>
    <row r="170" spans="3:3" x14ac:dyDescent="0.2">
      <c r="C170" s="4"/>
    </row>
    <row r="171" spans="3:3" x14ac:dyDescent="0.2">
      <c r="C171" s="4"/>
    </row>
    <row r="172" spans="3:3" x14ac:dyDescent="0.2">
      <c r="C172" s="4"/>
    </row>
    <row r="173" spans="3:3" x14ac:dyDescent="0.2">
      <c r="C173" s="4"/>
    </row>
    <row r="174" spans="3:3" x14ac:dyDescent="0.2">
      <c r="C174" s="4"/>
    </row>
    <row r="175" spans="3:3" x14ac:dyDescent="0.2">
      <c r="C175" s="4"/>
    </row>
    <row r="176" spans="3:3" x14ac:dyDescent="0.2">
      <c r="C176" s="4"/>
    </row>
    <row r="177" spans="3:3" x14ac:dyDescent="0.2">
      <c r="C177" s="4"/>
    </row>
    <row r="178" spans="3:3" x14ac:dyDescent="0.2">
      <c r="C178" s="4"/>
    </row>
    <row r="179" spans="3:3" x14ac:dyDescent="0.2">
      <c r="C179" s="4"/>
    </row>
    <row r="180" spans="3:3" x14ac:dyDescent="0.2">
      <c r="C180" s="4"/>
    </row>
    <row r="181" spans="3:3" x14ac:dyDescent="0.2">
      <c r="C181" s="4"/>
    </row>
    <row r="182" spans="3:3" x14ac:dyDescent="0.2">
      <c r="C182" s="4"/>
    </row>
    <row r="183" spans="3:3" x14ac:dyDescent="0.2">
      <c r="C183" s="4"/>
    </row>
    <row r="184" spans="3:3" x14ac:dyDescent="0.2">
      <c r="C184" s="4"/>
    </row>
    <row r="185" spans="3:3" x14ac:dyDescent="0.2">
      <c r="C185" s="4"/>
    </row>
    <row r="186" spans="3:3" x14ac:dyDescent="0.2">
      <c r="C186" s="4"/>
    </row>
    <row r="187" spans="3:3" x14ac:dyDescent="0.2">
      <c r="C187" s="4"/>
    </row>
    <row r="188" spans="3:3" x14ac:dyDescent="0.2">
      <c r="C188" s="4"/>
    </row>
    <row r="189" spans="3:3" x14ac:dyDescent="0.2">
      <c r="C189" s="4"/>
    </row>
    <row r="190" spans="3:3" x14ac:dyDescent="0.2">
      <c r="C190" s="4"/>
    </row>
    <row r="191" spans="3:3" x14ac:dyDescent="0.2">
      <c r="C191" s="4"/>
    </row>
    <row r="192" spans="3:3" x14ac:dyDescent="0.2">
      <c r="C192" s="4"/>
    </row>
    <row r="193" spans="3:3" x14ac:dyDescent="0.2">
      <c r="C193" s="4"/>
    </row>
    <row r="194" spans="3:3" x14ac:dyDescent="0.2">
      <c r="C194" s="4"/>
    </row>
    <row r="195" spans="3:3" x14ac:dyDescent="0.2">
      <c r="C195" s="4"/>
    </row>
    <row r="196" spans="3:3" x14ac:dyDescent="0.2">
      <c r="C196" s="4"/>
    </row>
    <row r="197" spans="3:3" x14ac:dyDescent="0.2">
      <c r="C197" s="4"/>
    </row>
    <row r="198" spans="3:3" x14ac:dyDescent="0.2">
      <c r="C198" s="4"/>
    </row>
    <row r="199" spans="3:3" x14ac:dyDescent="0.2">
      <c r="C199" s="4"/>
    </row>
    <row r="200" spans="3:3" x14ac:dyDescent="0.2">
      <c r="C200" s="4"/>
    </row>
    <row r="201" spans="3:3" x14ac:dyDescent="0.2">
      <c r="C201" s="4"/>
    </row>
    <row r="202" spans="3:3" x14ac:dyDescent="0.2">
      <c r="C202" s="4"/>
    </row>
    <row r="203" spans="3:3" x14ac:dyDescent="0.2">
      <c r="C203" s="4"/>
    </row>
    <row r="204" spans="3:3" x14ac:dyDescent="0.2">
      <c r="C204" s="4"/>
    </row>
    <row r="205" spans="3:3" x14ac:dyDescent="0.2">
      <c r="C205" s="4"/>
    </row>
    <row r="206" spans="3:3" x14ac:dyDescent="0.2">
      <c r="C206" s="4"/>
    </row>
    <row r="207" spans="3:3" x14ac:dyDescent="0.2">
      <c r="C207" s="4"/>
    </row>
    <row r="208" spans="3:3" x14ac:dyDescent="0.2">
      <c r="C208" s="4"/>
    </row>
    <row r="209" spans="3:3" x14ac:dyDescent="0.2">
      <c r="C209" s="4"/>
    </row>
    <row r="210" spans="3:3" x14ac:dyDescent="0.2">
      <c r="C210" s="4"/>
    </row>
    <row r="211" spans="3:3" x14ac:dyDescent="0.2">
      <c r="C211" s="4"/>
    </row>
    <row r="212" spans="3:3" x14ac:dyDescent="0.2">
      <c r="C212" s="4"/>
    </row>
    <row r="213" spans="3:3" x14ac:dyDescent="0.2">
      <c r="C213" s="4"/>
    </row>
    <row r="214" spans="3:3" x14ac:dyDescent="0.2">
      <c r="C214" s="4"/>
    </row>
    <row r="215" spans="3:3" x14ac:dyDescent="0.2">
      <c r="C215" s="4"/>
    </row>
    <row r="216" spans="3:3" x14ac:dyDescent="0.2">
      <c r="C216" s="4"/>
    </row>
    <row r="217" spans="3:3" x14ac:dyDescent="0.2">
      <c r="C217" s="4"/>
    </row>
    <row r="218" spans="3:3" x14ac:dyDescent="0.2">
      <c r="C218" s="4"/>
    </row>
    <row r="219" spans="3:3" x14ac:dyDescent="0.2">
      <c r="C219" s="4"/>
    </row>
    <row r="220" spans="3:3" x14ac:dyDescent="0.2">
      <c r="C220" s="4"/>
    </row>
    <row r="221" spans="3:3" x14ac:dyDescent="0.2">
      <c r="C221" s="4"/>
    </row>
    <row r="222" spans="3:3" x14ac:dyDescent="0.2">
      <c r="C222" s="4"/>
    </row>
    <row r="223" spans="3:3" x14ac:dyDescent="0.2">
      <c r="C223" s="4"/>
    </row>
    <row r="224" spans="3:3" x14ac:dyDescent="0.2">
      <c r="C224" s="4"/>
    </row>
    <row r="225" spans="3:3" x14ac:dyDescent="0.2">
      <c r="C225" s="4"/>
    </row>
    <row r="226" spans="3:3" x14ac:dyDescent="0.2">
      <c r="C226" s="4"/>
    </row>
    <row r="227" spans="3:3" x14ac:dyDescent="0.2">
      <c r="C227" s="4"/>
    </row>
    <row r="228" spans="3:3" x14ac:dyDescent="0.2">
      <c r="C228" s="4"/>
    </row>
    <row r="229" spans="3:3" x14ac:dyDescent="0.2">
      <c r="C229" s="4"/>
    </row>
    <row r="230" spans="3:3" x14ac:dyDescent="0.2">
      <c r="C230" s="4"/>
    </row>
    <row r="231" spans="3:3" x14ac:dyDescent="0.2">
      <c r="C231" s="4"/>
    </row>
    <row r="232" spans="3:3" x14ac:dyDescent="0.2">
      <c r="C232" s="4"/>
    </row>
    <row r="233" spans="3:3" x14ac:dyDescent="0.2">
      <c r="C233" s="4"/>
    </row>
    <row r="234" spans="3:3" x14ac:dyDescent="0.2">
      <c r="C234" s="4"/>
    </row>
    <row r="235" spans="3:3" x14ac:dyDescent="0.2">
      <c r="C235" s="4"/>
    </row>
    <row r="236" spans="3:3" x14ac:dyDescent="0.2">
      <c r="C236" s="4"/>
    </row>
    <row r="237" spans="3:3" x14ac:dyDescent="0.2">
      <c r="C237" s="4"/>
    </row>
    <row r="238" spans="3:3" x14ac:dyDescent="0.2">
      <c r="C238" s="4"/>
    </row>
    <row r="239" spans="3:3" x14ac:dyDescent="0.2">
      <c r="C239" s="4"/>
    </row>
    <row r="240" spans="3:3" x14ac:dyDescent="0.2">
      <c r="C240" s="4"/>
    </row>
    <row r="241" spans="3:3" x14ac:dyDescent="0.2">
      <c r="C241" s="4"/>
    </row>
    <row r="242" spans="3:3" x14ac:dyDescent="0.2">
      <c r="C242" s="4"/>
    </row>
    <row r="243" spans="3:3" x14ac:dyDescent="0.2">
      <c r="C243" s="4"/>
    </row>
    <row r="244" spans="3:3" x14ac:dyDescent="0.2">
      <c r="C244" s="4"/>
    </row>
    <row r="245" spans="3:3" x14ac:dyDescent="0.2">
      <c r="C245" s="4"/>
    </row>
    <row r="246" spans="3:3" x14ac:dyDescent="0.2">
      <c r="C246" s="4"/>
    </row>
    <row r="247" spans="3:3" x14ac:dyDescent="0.2">
      <c r="C247" s="4"/>
    </row>
    <row r="248" spans="3:3" x14ac:dyDescent="0.2">
      <c r="C248" s="4"/>
    </row>
    <row r="249" spans="3:3" x14ac:dyDescent="0.2">
      <c r="C249" s="4"/>
    </row>
    <row r="250" spans="3:3" x14ac:dyDescent="0.2">
      <c r="C250" s="4"/>
    </row>
    <row r="251" spans="3:3" x14ac:dyDescent="0.2">
      <c r="C251" s="4"/>
    </row>
    <row r="252" spans="3:3" x14ac:dyDescent="0.2">
      <c r="C252" s="4"/>
    </row>
    <row r="253" spans="3:3" x14ac:dyDescent="0.2">
      <c r="C253" s="4"/>
    </row>
    <row r="254" spans="3:3" x14ac:dyDescent="0.2">
      <c r="C254" s="4"/>
    </row>
    <row r="255" spans="3:3" x14ac:dyDescent="0.2">
      <c r="C255" s="4"/>
    </row>
    <row r="256" spans="3:3" x14ac:dyDescent="0.2">
      <c r="C256" s="4"/>
    </row>
    <row r="257" spans="3:3" x14ac:dyDescent="0.2">
      <c r="C257" s="4"/>
    </row>
    <row r="258" spans="3:3" x14ac:dyDescent="0.2">
      <c r="C258" s="4"/>
    </row>
    <row r="259" spans="3:3" x14ac:dyDescent="0.2">
      <c r="C259" s="4"/>
    </row>
    <row r="260" spans="3:3" x14ac:dyDescent="0.2">
      <c r="C260" s="4"/>
    </row>
    <row r="261" spans="3:3" x14ac:dyDescent="0.2">
      <c r="C261" s="4"/>
    </row>
    <row r="262" spans="3:3" x14ac:dyDescent="0.2">
      <c r="C262" s="4"/>
    </row>
    <row r="263" spans="3:3" x14ac:dyDescent="0.2">
      <c r="C263" s="4"/>
    </row>
    <row r="264" spans="3:3" x14ac:dyDescent="0.2">
      <c r="C264" s="4"/>
    </row>
  </sheetData>
  <mergeCells count="4">
    <mergeCell ref="C12:E12"/>
    <mergeCell ref="G12:I12"/>
    <mergeCell ref="K12:O12"/>
    <mergeCell ref="E1:N2"/>
  </mergeCells>
  <pageMargins left="0.7" right="0.7" top="0.75" bottom="0.75" header="0.3" footer="0.3"/>
  <pageSetup scale="45"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260"/>
  <sheetViews>
    <sheetView workbookViewId="0">
      <pane xSplit="2" ySplit="10" topLeftCell="C11" activePane="bottomRight" state="frozen"/>
      <selection pane="topRight" activeCell="C1" sqref="C1"/>
      <selection pane="bottomLeft" activeCell="A11" sqref="A11"/>
      <selection pane="bottomRight" activeCell="C11" sqref="C11"/>
    </sheetView>
  </sheetViews>
  <sheetFormatPr defaultRowHeight="12.75" x14ac:dyDescent="0.2"/>
  <cols>
    <col min="1" max="1" width="15.85546875" bestFit="1" customWidth="1"/>
    <col min="2" max="2" width="12.7109375" customWidth="1"/>
    <col min="3" max="3" width="18.28515625" bestFit="1" customWidth="1"/>
    <col min="4" max="4" width="13.140625" bestFit="1" customWidth="1"/>
    <col min="5" max="5" width="17.85546875" customWidth="1"/>
    <col min="6" max="6" width="4.7109375" customWidth="1"/>
    <col min="7" max="7" width="12.7109375" style="2" customWidth="1"/>
    <col min="8" max="8" width="15.42578125" style="2" customWidth="1"/>
    <col min="9" max="9" width="12.7109375" style="3" customWidth="1"/>
    <col min="10" max="10" width="2.7109375" customWidth="1"/>
    <col min="11" max="11" width="15.7109375" style="1" customWidth="1"/>
    <col min="12" max="13" width="15.7109375" customWidth="1"/>
    <col min="14" max="15" width="15.7109375" style="1" customWidth="1"/>
    <col min="16" max="16" width="6.7109375" customWidth="1"/>
    <col min="17" max="18" width="12.7109375" style="2" customWidth="1"/>
    <col min="20" max="21" width="12.7109375" customWidth="1"/>
  </cols>
  <sheetData>
    <row r="1" spans="1:21" ht="12.75" customHeight="1" x14ac:dyDescent="0.2">
      <c r="A1" s="1" t="s">
        <v>35</v>
      </c>
      <c r="B1" s="53" t="str">
        <f>'2-Renewal Terms'!C5</f>
        <v>RICHMOND</v>
      </c>
      <c r="E1" s="136" t="s">
        <v>111</v>
      </c>
      <c r="F1" s="136"/>
      <c r="G1" s="136"/>
      <c r="H1" s="136"/>
      <c r="I1" s="136"/>
      <c r="J1" s="136"/>
      <c r="K1" s="136"/>
      <c r="L1" s="136"/>
      <c r="M1" s="136"/>
      <c r="N1" s="136"/>
    </row>
    <row r="2" spans="1:21" x14ac:dyDescent="0.2">
      <c r="A2" s="4" t="s">
        <v>44</v>
      </c>
      <c r="B2" s="75">
        <f>'2-Renewal Terms'!G6</f>
        <v>43100</v>
      </c>
      <c r="E2" s="136"/>
      <c r="F2" s="136"/>
      <c r="G2" s="136"/>
      <c r="H2" s="136"/>
      <c r="I2" s="136"/>
      <c r="J2" s="136"/>
      <c r="K2" s="136"/>
      <c r="L2" s="136"/>
      <c r="M2" s="136"/>
      <c r="N2" s="136"/>
    </row>
    <row r="3" spans="1:21" ht="25.5" x14ac:dyDescent="0.2">
      <c r="A3" s="118" t="s">
        <v>101</v>
      </c>
      <c r="B3" s="75">
        <f>'2-Renewal Terms'!G7</f>
        <v>44926</v>
      </c>
      <c r="E3" s="136"/>
      <c r="F3" s="136"/>
      <c r="G3" s="136"/>
      <c r="H3" s="136"/>
      <c r="I3" s="136"/>
      <c r="J3" s="136"/>
      <c r="K3" s="136"/>
      <c r="L3" s="136"/>
      <c r="M3" s="136"/>
      <c r="N3" s="136"/>
    </row>
    <row r="4" spans="1:21" x14ac:dyDescent="0.2">
      <c r="A4" s="4" t="s">
        <v>100</v>
      </c>
      <c r="B4" s="65">
        <f>'2-Renewal Terms'!G8</f>
        <v>60</v>
      </c>
      <c r="D4" s="5"/>
    </row>
    <row r="5" spans="1:21" x14ac:dyDescent="0.2">
      <c r="A5" s="4" t="s">
        <v>32</v>
      </c>
      <c r="D5" s="5"/>
    </row>
    <row r="6" spans="1:21" ht="13.5" thickBot="1" x14ac:dyDescent="0.25">
      <c r="A6" s="6"/>
      <c r="B6" s="29" t="s">
        <v>1</v>
      </c>
      <c r="C6" s="77">
        <f>IF('2-Renewal Terms'!G15="NO",0,IF('2-Renewal Terms'!H15="INCREASE",'2-Renewal Terms'!C17,0))</f>
        <v>0.05</v>
      </c>
      <c r="D6" s="5"/>
    </row>
    <row r="7" spans="1:21" ht="13.5" thickBot="1" x14ac:dyDescent="0.25">
      <c r="B7" s="1" t="s">
        <v>2</v>
      </c>
      <c r="C7" s="7">
        <f>C6/12</f>
        <v>4.1666666666666666E-3</v>
      </c>
      <c r="D7" s="7">
        <f>C7</f>
        <v>4.1666666666666666E-3</v>
      </c>
      <c r="E7" s="1"/>
      <c r="F7" s="1"/>
      <c r="G7" s="8"/>
      <c r="Q7" s="9" t="s">
        <v>3</v>
      </c>
      <c r="R7" s="10"/>
      <c r="T7" s="9" t="s">
        <v>4</v>
      </c>
      <c r="U7" s="11"/>
    </row>
    <row r="8" spans="1:21" ht="13.5" thickBot="1" x14ac:dyDescent="0.25">
      <c r="C8" s="135" t="s">
        <v>84</v>
      </c>
      <c r="D8" s="135"/>
      <c r="E8" s="135"/>
      <c r="G8" s="135" t="s">
        <v>85</v>
      </c>
      <c r="H8" s="135"/>
      <c r="I8" s="135"/>
      <c r="K8" s="135" t="s">
        <v>86</v>
      </c>
      <c r="L8" s="135"/>
      <c r="M8" s="135"/>
      <c r="N8" s="135"/>
      <c r="O8" s="135"/>
    </row>
    <row r="9" spans="1:21" x14ac:dyDescent="0.2">
      <c r="A9" s="13" t="s">
        <v>5</v>
      </c>
      <c r="B9" s="13" t="s">
        <v>6</v>
      </c>
      <c r="C9" s="12" t="s">
        <v>7</v>
      </c>
      <c r="D9" s="14" t="s">
        <v>8</v>
      </c>
      <c r="E9" s="15" t="s">
        <v>9</v>
      </c>
      <c r="G9" s="3" t="s">
        <v>10</v>
      </c>
      <c r="H9" s="3" t="s">
        <v>11</v>
      </c>
      <c r="I9" s="3" t="s">
        <v>12</v>
      </c>
      <c r="K9" s="3" t="s">
        <v>13</v>
      </c>
      <c r="L9" s="3" t="s">
        <v>14</v>
      </c>
      <c r="M9" s="3" t="s">
        <v>15</v>
      </c>
      <c r="N9" s="3" t="s">
        <v>16</v>
      </c>
      <c r="O9" s="3" t="s">
        <v>17</v>
      </c>
      <c r="Q9" s="3" t="s">
        <v>11</v>
      </c>
      <c r="R9" s="3" t="s">
        <v>18</v>
      </c>
      <c r="T9" s="3" t="s">
        <v>19</v>
      </c>
      <c r="U9" s="3" t="s">
        <v>20</v>
      </c>
    </row>
    <row r="10" spans="1:21" x14ac:dyDescent="0.2">
      <c r="A10" s="16"/>
      <c r="B10" s="16"/>
      <c r="C10" s="17"/>
      <c r="D10" s="18" t="s">
        <v>21</v>
      </c>
      <c r="E10" s="19" t="s">
        <v>22</v>
      </c>
      <c r="Q10" s="12" t="s">
        <v>23</v>
      </c>
      <c r="R10" s="12" t="s">
        <v>24</v>
      </c>
      <c r="T10" s="12" t="s">
        <v>23</v>
      </c>
      <c r="U10" s="12" t="s">
        <v>19</v>
      </c>
    </row>
    <row r="11" spans="1:21" s="65" customFormat="1" x14ac:dyDescent="0.2">
      <c r="A11" s="63">
        <v>0</v>
      </c>
      <c r="B11" s="76">
        <f>B2</f>
        <v>43100</v>
      </c>
      <c r="C11" s="22"/>
      <c r="D11" s="64">
        <f t="shared" ref="D11:D70" si="0">(1+D$7)^-A11</f>
        <v>1</v>
      </c>
      <c r="E11" s="67"/>
      <c r="F11" s="66"/>
      <c r="G11" s="31">
        <v>0</v>
      </c>
      <c r="H11" s="32">
        <f>ROUND(G11*C$7,2)</f>
        <v>0</v>
      </c>
      <c r="I11" s="33">
        <f>E71</f>
        <v>-90331.260754927411</v>
      </c>
      <c r="J11" s="66"/>
      <c r="K11" s="71">
        <v>0</v>
      </c>
      <c r="L11" s="72">
        <v>0</v>
      </c>
      <c r="M11" s="72">
        <v>0</v>
      </c>
      <c r="N11" s="71">
        <f>M11+L11</f>
        <v>0</v>
      </c>
      <c r="O11" s="71">
        <f t="shared" ref="O11:O71" si="1">K11+N11</f>
        <v>0</v>
      </c>
      <c r="P11" s="66"/>
      <c r="Q11" s="70">
        <f t="shared" ref="Q11:Q71" si="2">H11*-1</f>
        <v>0</v>
      </c>
      <c r="R11" s="70">
        <f t="shared" ref="R11:R71" si="3">-Q11</f>
        <v>0</v>
      </c>
      <c r="S11" s="72"/>
      <c r="T11" s="72">
        <f>-M11</f>
        <v>0</v>
      </c>
      <c r="U11" s="72">
        <f>-M11</f>
        <v>0</v>
      </c>
    </row>
    <row r="12" spans="1:21" x14ac:dyDescent="0.2">
      <c r="A12" s="20">
        <f t="shared" ref="A12:A71" si="4">A11+1</f>
        <v>1</v>
      </c>
      <c r="B12" s="21">
        <f>B11+30</f>
        <v>43130</v>
      </c>
      <c r="C12" s="22">
        <v>0</v>
      </c>
      <c r="D12" s="30">
        <f t="shared" si="0"/>
        <v>0.99585062240663902</v>
      </c>
      <c r="E12" s="23">
        <f t="shared" ref="E12:E70" si="5">C12*D12</f>
        <v>0</v>
      </c>
      <c r="G12" s="31">
        <f>I11</f>
        <v>-90331.260754927411</v>
      </c>
      <c r="H12" s="32">
        <f t="shared" ref="H12:H71" si="6">ROUND(G12*C$7,2)</f>
        <v>-376.38</v>
      </c>
      <c r="I12" s="33">
        <f t="shared" ref="I12:I71" si="7">G12+H12</f>
        <v>-90707.640754927415</v>
      </c>
      <c r="J12" s="26"/>
      <c r="K12" s="34">
        <f t="shared" ref="K12:K71" si="8">K11</f>
        <v>0</v>
      </c>
      <c r="L12" s="35">
        <f t="shared" ref="L12:L71" si="9">N11</f>
        <v>0</v>
      </c>
      <c r="M12" s="35">
        <f>-K12/A71</f>
        <v>0</v>
      </c>
      <c r="N12" s="34">
        <f>M12+L12</f>
        <v>0</v>
      </c>
      <c r="O12" s="34">
        <f t="shared" si="1"/>
        <v>0</v>
      </c>
      <c r="P12" s="26"/>
      <c r="Q12" s="36">
        <f>H12*-1</f>
        <v>376.38</v>
      </c>
      <c r="R12" s="36">
        <f t="shared" si="3"/>
        <v>-376.38</v>
      </c>
      <c r="S12" s="35"/>
      <c r="T12" s="35">
        <f>-M12</f>
        <v>0</v>
      </c>
      <c r="U12" s="35">
        <f>M12</f>
        <v>0</v>
      </c>
    </row>
    <row r="13" spans="1:21" x14ac:dyDescent="0.2">
      <c r="A13" s="20">
        <f t="shared" si="4"/>
        <v>2</v>
      </c>
      <c r="B13" s="21">
        <f t="shared" ref="B13:B71" si="10">EDATE(B12,1)</f>
        <v>43159</v>
      </c>
      <c r="C13" s="22">
        <v>0</v>
      </c>
      <c r="D13" s="30">
        <f t="shared" si="0"/>
        <v>0.99171846214769022</v>
      </c>
      <c r="E13" s="23">
        <f t="shared" si="5"/>
        <v>0</v>
      </c>
      <c r="G13" s="31">
        <f t="shared" ref="G13:G71" si="11">I12</f>
        <v>-90707.640754927415</v>
      </c>
      <c r="H13" s="32">
        <f t="shared" si="6"/>
        <v>-377.95</v>
      </c>
      <c r="I13" s="33">
        <f t="shared" si="7"/>
        <v>-91085.590754927412</v>
      </c>
      <c r="J13" s="26"/>
      <c r="K13" s="34">
        <f t="shared" si="8"/>
        <v>0</v>
      </c>
      <c r="L13" s="35">
        <f t="shared" si="9"/>
        <v>0</v>
      </c>
      <c r="M13" s="35">
        <f>M12</f>
        <v>0</v>
      </c>
      <c r="N13" s="34">
        <f t="shared" ref="N13:N71" si="12">M13+L13</f>
        <v>0</v>
      </c>
      <c r="O13" s="34">
        <f t="shared" si="1"/>
        <v>0</v>
      </c>
      <c r="P13" s="26"/>
      <c r="Q13" s="36">
        <f t="shared" si="2"/>
        <v>377.95</v>
      </c>
      <c r="R13" s="36">
        <f t="shared" si="3"/>
        <v>-377.95</v>
      </c>
      <c r="S13" s="35"/>
      <c r="T13" s="35">
        <f t="shared" ref="T13:T71" si="13">-M13</f>
        <v>0</v>
      </c>
      <c r="U13" s="35">
        <f t="shared" ref="U13:U71" si="14">M13</f>
        <v>0</v>
      </c>
    </row>
    <row r="14" spans="1:21" x14ac:dyDescent="0.2">
      <c r="A14" s="20">
        <f t="shared" si="4"/>
        <v>3</v>
      </c>
      <c r="B14" s="21">
        <f t="shared" si="10"/>
        <v>43187</v>
      </c>
      <c r="C14" s="22">
        <v>0</v>
      </c>
      <c r="D14" s="30">
        <f t="shared" si="0"/>
        <v>0.9876034477819321</v>
      </c>
      <c r="E14" s="23">
        <f t="shared" si="5"/>
        <v>0</v>
      </c>
      <c r="G14" s="31">
        <f t="shared" si="11"/>
        <v>-91085.590754927412</v>
      </c>
      <c r="H14" s="32">
        <f t="shared" si="6"/>
        <v>-379.52</v>
      </c>
      <c r="I14" s="33">
        <f t="shared" si="7"/>
        <v>-91465.110754927417</v>
      </c>
      <c r="J14" s="26"/>
      <c r="K14" s="34">
        <f t="shared" si="8"/>
        <v>0</v>
      </c>
      <c r="L14" s="35">
        <f t="shared" si="9"/>
        <v>0</v>
      </c>
      <c r="M14" s="35">
        <f t="shared" ref="M14:M71" si="15">M13</f>
        <v>0</v>
      </c>
      <c r="N14" s="34">
        <f t="shared" si="12"/>
        <v>0</v>
      </c>
      <c r="O14" s="34">
        <f t="shared" si="1"/>
        <v>0</v>
      </c>
      <c r="P14" s="26"/>
      <c r="Q14" s="36">
        <f t="shared" si="2"/>
        <v>379.52</v>
      </c>
      <c r="R14" s="36">
        <f t="shared" si="3"/>
        <v>-379.52</v>
      </c>
      <c r="S14" s="35"/>
      <c r="T14" s="35">
        <f t="shared" si="13"/>
        <v>0</v>
      </c>
      <c r="U14" s="35">
        <f t="shared" si="14"/>
        <v>0</v>
      </c>
    </row>
    <row r="15" spans="1:21" x14ac:dyDescent="0.2">
      <c r="A15" s="20">
        <f t="shared" si="4"/>
        <v>4</v>
      </c>
      <c r="B15" s="21">
        <f t="shared" si="10"/>
        <v>43218</v>
      </c>
      <c r="C15" s="22">
        <v>0</v>
      </c>
      <c r="D15" s="30">
        <f t="shared" si="0"/>
        <v>0.98350550816457971</v>
      </c>
      <c r="E15" s="23">
        <f t="shared" si="5"/>
        <v>0</v>
      </c>
      <c r="G15" s="31">
        <f t="shared" si="11"/>
        <v>-91465.110754927417</v>
      </c>
      <c r="H15" s="32">
        <f t="shared" si="6"/>
        <v>-381.1</v>
      </c>
      <c r="I15" s="33">
        <f t="shared" si="7"/>
        <v>-91846.210754927422</v>
      </c>
      <c r="J15" s="26"/>
      <c r="K15" s="34">
        <f t="shared" si="8"/>
        <v>0</v>
      </c>
      <c r="L15" s="35">
        <f t="shared" si="9"/>
        <v>0</v>
      </c>
      <c r="M15" s="35">
        <f t="shared" si="15"/>
        <v>0</v>
      </c>
      <c r="N15" s="34">
        <f t="shared" si="12"/>
        <v>0</v>
      </c>
      <c r="O15" s="34">
        <f t="shared" si="1"/>
        <v>0</v>
      </c>
      <c r="P15" s="26"/>
      <c r="Q15" s="36">
        <f t="shared" si="2"/>
        <v>381.1</v>
      </c>
      <c r="R15" s="36">
        <f t="shared" si="3"/>
        <v>-381.1</v>
      </c>
      <c r="S15" s="35"/>
      <c r="T15" s="35">
        <f t="shared" si="13"/>
        <v>0</v>
      </c>
      <c r="U15" s="35">
        <f t="shared" si="14"/>
        <v>0</v>
      </c>
    </row>
    <row r="16" spans="1:21" x14ac:dyDescent="0.2">
      <c r="A16" s="20">
        <f t="shared" si="4"/>
        <v>5</v>
      </c>
      <c r="B16" s="21">
        <f t="shared" si="10"/>
        <v>43248</v>
      </c>
      <c r="C16" s="22">
        <v>0</v>
      </c>
      <c r="D16" s="30">
        <f t="shared" si="0"/>
        <v>0.97942457244605463</v>
      </c>
      <c r="E16" s="23">
        <f t="shared" si="5"/>
        <v>0</v>
      </c>
      <c r="G16" s="31">
        <f t="shared" si="11"/>
        <v>-91846.210754927422</v>
      </c>
      <c r="H16" s="32">
        <f t="shared" si="6"/>
        <v>-382.69</v>
      </c>
      <c r="I16" s="33">
        <f t="shared" si="7"/>
        <v>-92228.900754927425</v>
      </c>
      <c r="J16" s="26"/>
      <c r="K16" s="34">
        <f t="shared" si="8"/>
        <v>0</v>
      </c>
      <c r="L16" s="35">
        <f t="shared" si="9"/>
        <v>0</v>
      </c>
      <c r="M16" s="35">
        <f t="shared" si="15"/>
        <v>0</v>
      </c>
      <c r="N16" s="34">
        <f t="shared" si="12"/>
        <v>0</v>
      </c>
      <c r="O16" s="34">
        <f t="shared" si="1"/>
        <v>0</v>
      </c>
      <c r="P16" s="26"/>
      <c r="Q16" s="36">
        <f t="shared" si="2"/>
        <v>382.69</v>
      </c>
      <c r="R16" s="36">
        <f t="shared" si="3"/>
        <v>-382.69</v>
      </c>
      <c r="S16" s="35"/>
      <c r="T16" s="35">
        <f t="shared" si="13"/>
        <v>0</v>
      </c>
      <c r="U16" s="35">
        <f t="shared" si="14"/>
        <v>0</v>
      </c>
    </row>
    <row r="17" spans="1:21" x14ac:dyDescent="0.2">
      <c r="A17" s="20">
        <f t="shared" si="4"/>
        <v>6</v>
      </c>
      <c r="B17" s="21">
        <f t="shared" si="10"/>
        <v>43279</v>
      </c>
      <c r="C17" s="22">
        <v>0</v>
      </c>
      <c r="D17" s="30">
        <f t="shared" si="0"/>
        <v>0.97536057007075971</v>
      </c>
      <c r="E17" s="23">
        <f t="shared" si="5"/>
        <v>0</v>
      </c>
      <c r="G17" s="31">
        <f t="shared" si="11"/>
        <v>-92228.900754927425</v>
      </c>
      <c r="H17" s="32">
        <f t="shared" si="6"/>
        <v>-384.29</v>
      </c>
      <c r="I17" s="33">
        <f t="shared" si="7"/>
        <v>-92613.190754927418</v>
      </c>
      <c r="J17" s="26"/>
      <c r="K17" s="34">
        <f t="shared" si="8"/>
        <v>0</v>
      </c>
      <c r="L17" s="35">
        <f t="shared" si="9"/>
        <v>0</v>
      </c>
      <c r="M17" s="35">
        <f t="shared" si="15"/>
        <v>0</v>
      </c>
      <c r="N17" s="34">
        <f t="shared" si="12"/>
        <v>0</v>
      </c>
      <c r="O17" s="34">
        <f t="shared" si="1"/>
        <v>0</v>
      </c>
      <c r="P17" s="26"/>
      <c r="Q17" s="36">
        <f t="shared" si="2"/>
        <v>384.29</v>
      </c>
      <c r="R17" s="36">
        <f t="shared" si="3"/>
        <v>-384.29</v>
      </c>
      <c r="S17" s="35"/>
      <c r="T17" s="35">
        <f t="shared" si="13"/>
        <v>0</v>
      </c>
      <c r="U17" s="35">
        <f t="shared" si="14"/>
        <v>0</v>
      </c>
    </row>
    <row r="18" spans="1:21" x14ac:dyDescent="0.2">
      <c r="A18" s="20">
        <f t="shared" si="4"/>
        <v>7</v>
      </c>
      <c r="B18" s="21">
        <f t="shared" si="10"/>
        <v>43309</v>
      </c>
      <c r="C18" s="22">
        <v>0</v>
      </c>
      <c r="D18" s="30">
        <f t="shared" si="0"/>
        <v>0.97131343077586008</v>
      </c>
      <c r="E18" s="23">
        <f t="shared" si="5"/>
        <v>0</v>
      </c>
      <c r="G18" s="31">
        <f t="shared" si="11"/>
        <v>-92613.190754927418</v>
      </c>
      <c r="H18" s="32">
        <f t="shared" si="6"/>
        <v>-385.89</v>
      </c>
      <c r="I18" s="33">
        <f t="shared" si="7"/>
        <v>-92999.080754927418</v>
      </c>
      <c r="J18" s="26"/>
      <c r="K18" s="34">
        <f t="shared" si="8"/>
        <v>0</v>
      </c>
      <c r="L18" s="35">
        <f t="shared" si="9"/>
        <v>0</v>
      </c>
      <c r="M18" s="35">
        <f t="shared" si="15"/>
        <v>0</v>
      </c>
      <c r="N18" s="34">
        <f t="shared" si="12"/>
        <v>0</v>
      </c>
      <c r="O18" s="34">
        <f t="shared" si="1"/>
        <v>0</v>
      </c>
      <c r="P18" s="26"/>
      <c r="Q18" s="36">
        <f t="shared" si="2"/>
        <v>385.89</v>
      </c>
      <c r="R18" s="36">
        <f t="shared" si="3"/>
        <v>-385.89</v>
      </c>
      <c r="S18" s="35"/>
      <c r="T18" s="35">
        <f t="shared" si="13"/>
        <v>0</v>
      </c>
      <c r="U18" s="35">
        <f t="shared" si="14"/>
        <v>0</v>
      </c>
    </row>
    <row r="19" spans="1:21" x14ac:dyDescent="0.2">
      <c r="A19" s="20">
        <f t="shared" si="4"/>
        <v>8</v>
      </c>
      <c r="B19" s="21">
        <f t="shared" si="10"/>
        <v>43340</v>
      </c>
      <c r="C19" s="22">
        <v>0</v>
      </c>
      <c r="D19" s="30">
        <f t="shared" si="0"/>
        <v>0.96728308459006829</v>
      </c>
      <c r="E19" s="23">
        <f t="shared" si="5"/>
        <v>0</v>
      </c>
      <c r="G19" s="31">
        <f t="shared" si="11"/>
        <v>-92999.080754927418</v>
      </c>
      <c r="H19" s="32">
        <f t="shared" si="6"/>
        <v>-387.5</v>
      </c>
      <c r="I19" s="33">
        <f t="shared" si="7"/>
        <v>-93386.580754927418</v>
      </c>
      <c r="J19" s="26"/>
      <c r="K19" s="34">
        <f t="shared" si="8"/>
        <v>0</v>
      </c>
      <c r="L19" s="35">
        <f t="shared" si="9"/>
        <v>0</v>
      </c>
      <c r="M19" s="35">
        <f t="shared" si="15"/>
        <v>0</v>
      </c>
      <c r="N19" s="34">
        <f t="shared" si="12"/>
        <v>0</v>
      </c>
      <c r="O19" s="34">
        <f t="shared" si="1"/>
        <v>0</v>
      </c>
      <c r="P19" s="26"/>
      <c r="Q19" s="36">
        <f t="shared" si="2"/>
        <v>387.5</v>
      </c>
      <c r="R19" s="36">
        <f t="shared" si="3"/>
        <v>-387.5</v>
      </c>
      <c r="S19" s="35"/>
      <c r="T19" s="35">
        <f t="shared" si="13"/>
        <v>0</v>
      </c>
      <c r="U19" s="35">
        <f t="shared" si="14"/>
        <v>0</v>
      </c>
    </row>
    <row r="20" spans="1:21" x14ac:dyDescent="0.2">
      <c r="A20" s="20">
        <f t="shared" si="4"/>
        <v>9</v>
      </c>
      <c r="B20" s="21">
        <f t="shared" si="10"/>
        <v>43371</v>
      </c>
      <c r="C20" s="22">
        <v>0</v>
      </c>
      <c r="D20" s="30">
        <f t="shared" si="0"/>
        <v>0.96326946183243312</v>
      </c>
      <c r="E20" s="23">
        <f t="shared" si="5"/>
        <v>0</v>
      </c>
      <c r="G20" s="31">
        <f t="shared" si="11"/>
        <v>-93386.580754927418</v>
      </c>
      <c r="H20" s="32">
        <f t="shared" si="6"/>
        <v>-389.11</v>
      </c>
      <c r="I20" s="33">
        <f t="shared" si="7"/>
        <v>-93775.690754927418</v>
      </c>
      <c r="J20" s="26"/>
      <c r="K20" s="34">
        <f t="shared" si="8"/>
        <v>0</v>
      </c>
      <c r="L20" s="35">
        <f t="shared" si="9"/>
        <v>0</v>
      </c>
      <c r="M20" s="35">
        <f t="shared" si="15"/>
        <v>0</v>
      </c>
      <c r="N20" s="34">
        <f t="shared" si="12"/>
        <v>0</v>
      </c>
      <c r="O20" s="34">
        <f t="shared" si="1"/>
        <v>0</v>
      </c>
      <c r="P20" s="26"/>
      <c r="Q20" s="36">
        <f t="shared" si="2"/>
        <v>389.11</v>
      </c>
      <c r="R20" s="36">
        <f t="shared" si="3"/>
        <v>-389.11</v>
      </c>
      <c r="S20" s="35"/>
      <c r="T20" s="35">
        <f t="shared" si="13"/>
        <v>0</v>
      </c>
      <c r="U20" s="35">
        <f t="shared" si="14"/>
        <v>0</v>
      </c>
    </row>
    <row r="21" spans="1:21" x14ac:dyDescent="0.2">
      <c r="A21" s="20">
        <f t="shared" si="4"/>
        <v>10</v>
      </c>
      <c r="B21" s="21">
        <f t="shared" si="10"/>
        <v>43401</v>
      </c>
      <c r="C21" s="22">
        <v>0</v>
      </c>
      <c r="D21" s="30">
        <f t="shared" si="0"/>
        <v>0.9592724931111366</v>
      </c>
      <c r="E21" s="23">
        <f t="shared" si="5"/>
        <v>0</v>
      </c>
      <c r="G21" s="31">
        <f t="shared" si="11"/>
        <v>-93775.690754927418</v>
      </c>
      <c r="H21" s="32">
        <f t="shared" si="6"/>
        <v>-390.73</v>
      </c>
      <c r="I21" s="33">
        <f t="shared" si="7"/>
        <v>-94166.420754927414</v>
      </c>
      <c r="J21" s="26"/>
      <c r="K21" s="34">
        <f t="shared" si="8"/>
        <v>0</v>
      </c>
      <c r="L21" s="35">
        <f t="shared" si="9"/>
        <v>0</v>
      </c>
      <c r="M21" s="35">
        <f t="shared" si="15"/>
        <v>0</v>
      </c>
      <c r="N21" s="34">
        <f t="shared" si="12"/>
        <v>0</v>
      </c>
      <c r="O21" s="34">
        <f t="shared" si="1"/>
        <v>0</v>
      </c>
      <c r="P21" s="26"/>
      <c r="Q21" s="36">
        <f t="shared" si="2"/>
        <v>390.73</v>
      </c>
      <c r="R21" s="36">
        <f t="shared" si="3"/>
        <v>-390.73</v>
      </c>
      <c r="S21" s="35"/>
      <c r="T21" s="35">
        <f t="shared" si="13"/>
        <v>0</v>
      </c>
      <c r="U21" s="35">
        <f t="shared" si="14"/>
        <v>0</v>
      </c>
    </row>
    <row r="22" spans="1:21" x14ac:dyDescent="0.2">
      <c r="A22" s="20">
        <f t="shared" si="4"/>
        <v>11</v>
      </c>
      <c r="B22" s="21">
        <f t="shared" si="10"/>
        <v>43432</v>
      </c>
      <c r="C22" s="22">
        <v>0</v>
      </c>
      <c r="D22" s="30">
        <f t="shared" si="0"/>
        <v>0.9552921093222938</v>
      </c>
      <c r="E22" s="23">
        <f t="shared" si="5"/>
        <v>0</v>
      </c>
      <c r="G22" s="31">
        <f t="shared" si="11"/>
        <v>-94166.420754927414</v>
      </c>
      <c r="H22" s="32">
        <f t="shared" si="6"/>
        <v>-392.36</v>
      </c>
      <c r="I22" s="33">
        <f t="shared" si="7"/>
        <v>-94558.780754927415</v>
      </c>
      <c r="J22" s="26"/>
      <c r="K22" s="34">
        <f t="shared" si="8"/>
        <v>0</v>
      </c>
      <c r="L22" s="35">
        <f t="shared" si="9"/>
        <v>0</v>
      </c>
      <c r="M22" s="35">
        <f t="shared" si="15"/>
        <v>0</v>
      </c>
      <c r="N22" s="34">
        <f t="shared" si="12"/>
        <v>0</v>
      </c>
      <c r="O22" s="34">
        <f t="shared" si="1"/>
        <v>0</v>
      </c>
      <c r="P22" s="26"/>
      <c r="Q22" s="36">
        <f t="shared" si="2"/>
        <v>392.36</v>
      </c>
      <c r="R22" s="36">
        <f t="shared" si="3"/>
        <v>-392.36</v>
      </c>
      <c r="S22" s="35"/>
      <c r="T22" s="35">
        <f t="shared" si="13"/>
        <v>0</v>
      </c>
      <c r="U22" s="35">
        <f t="shared" si="14"/>
        <v>0</v>
      </c>
    </row>
    <row r="23" spans="1:21" x14ac:dyDescent="0.2">
      <c r="A23" s="20">
        <f t="shared" si="4"/>
        <v>12</v>
      </c>
      <c r="B23" s="21">
        <f t="shared" si="10"/>
        <v>43462</v>
      </c>
      <c r="C23" s="22">
        <v>0</v>
      </c>
      <c r="D23" s="30">
        <f t="shared" si="0"/>
        <v>0.95132824164875729</v>
      </c>
      <c r="E23" s="23">
        <f t="shared" si="5"/>
        <v>0</v>
      </c>
      <c r="G23" s="31">
        <f t="shared" si="11"/>
        <v>-94558.780754927415</v>
      </c>
      <c r="H23" s="32">
        <f t="shared" si="6"/>
        <v>-393.99</v>
      </c>
      <c r="I23" s="33">
        <f t="shared" si="7"/>
        <v>-94952.77075492742</v>
      </c>
      <c r="J23" s="26"/>
      <c r="K23" s="34">
        <f t="shared" si="8"/>
        <v>0</v>
      </c>
      <c r="L23" s="35">
        <f t="shared" si="9"/>
        <v>0</v>
      </c>
      <c r="M23" s="35">
        <f t="shared" si="15"/>
        <v>0</v>
      </c>
      <c r="N23" s="34">
        <f t="shared" si="12"/>
        <v>0</v>
      </c>
      <c r="O23" s="34">
        <f t="shared" si="1"/>
        <v>0</v>
      </c>
      <c r="P23" s="26"/>
      <c r="Q23" s="36">
        <f t="shared" si="2"/>
        <v>393.99</v>
      </c>
      <c r="R23" s="36">
        <f t="shared" si="3"/>
        <v>-393.99</v>
      </c>
      <c r="S23" s="35"/>
      <c r="T23" s="35">
        <f t="shared" si="13"/>
        <v>0</v>
      </c>
      <c r="U23" s="35">
        <f t="shared" si="14"/>
        <v>0</v>
      </c>
    </row>
    <row r="24" spans="1:21" x14ac:dyDescent="0.2">
      <c r="A24" s="20">
        <f t="shared" si="4"/>
        <v>13</v>
      </c>
      <c r="B24" s="21">
        <f t="shared" si="10"/>
        <v>43493</v>
      </c>
      <c r="C24" s="22">
        <v>0</v>
      </c>
      <c r="D24" s="30">
        <f t="shared" si="0"/>
        <v>0.94738082155892855</v>
      </c>
      <c r="E24" s="23">
        <f t="shared" si="5"/>
        <v>0</v>
      </c>
      <c r="G24" s="31">
        <f t="shared" si="11"/>
        <v>-94952.77075492742</v>
      </c>
      <c r="H24" s="32">
        <f t="shared" si="6"/>
        <v>-395.64</v>
      </c>
      <c r="I24" s="33">
        <f t="shared" si="7"/>
        <v>-95348.410754927419</v>
      </c>
      <c r="J24" s="26"/>
      <c r="K24" s="34">
        <f t="shared" si="8"/>
        <v>0</v>
      </c>
      <c r="L24" s="35">
        <f t="shared" si="9"/>
        <v>0</v>
      </c>
      <c r="M24" s="35">
        <f t="shared" si="15"/>
        <v>0</v>
      </c>
      <c r="N24" s="34">
        <f t="shared" si="12"/>
        <v>0</v>
      </c>
      <c r="O24" s="34">
        <f t="shared" si="1"/>
        <v>0</v>
      </c>
      <c r="P24" s="26"/>
      <c r="Q24" s="36">
        <f t="shared" si="2"/>
        <v>395.64</v>
      </c>
      <c r="R24" s="36">
        <f t="shared" si="3"/>
        <v>-395.64</v>
      </c>
      <c r="S24" s="35"/>
      <c r="T24" s="35">
        <f t="shared" si="13"/>
        <v>0</v>
      </c>
      <c r="U24" s="35">
        <f t="shared" si="14"/>
        <v>0</v>
      </c>
    </row>
    <row r="25" spans="1:21" x14ac:dyDescent="0.2">
      <c r="A25" s="20">
        <f t="shared" si="4"/>
        <v>14</v>
      </c>
      <c r="B25" s="21">
        <f t="shared" si="10"/>
        <v>43524</v>
      </c>
      <c r="C25" s="22">
        <v>0</v>
      </c>
      <c r="D25" s="30">
        <f t="shared" si="0"/>
        <v>0.94344978080557196</v>
      </c>
      <c r="E25" s="23">
        <f t="shared" si="5"/>
        <v>0</v>
      </c>
      <c r="G25" s="31">
        <f t="shared" si="11"/>
        <v>-95348.410754927419</v>
      </c>
      <c r="H25" s="32">
        <f t="shared" si="6"/>
        <v>-397.29</v>
      </c>
      <c r="I25" s="33">
        <f t="shared" si="7"/>
        <v>-95745.700754927413</v>
      </c>
      <c r="J25" s="26"/>
      <c r="K25" s="34">
        <f t="shared" si="8"/>
        <v>0</v>
      </c>
      <c r="L25" s="35">
        <f t="shared" si="9"/>
        <v>0</v>
      </c>
      <c r="M25" s="35">
        <f t="shared" si="15"/>
        <v>0</v>
      </c>
      <c r="N25" s="34">
        <f t="shared" si="12"/>
        <v>0</v>
      </c>
      <c r="O25" s="34">
        <f t="shared" si="1"/>
        <v>0</v>
      </c>
      <c r="P25" s="26"/>
      <c r="Q25" s="36">
        <f t="shared" si="2"/>
        <v>397.29</v>
      </c>
      <c r="R25" s="36">
        <f t="shared" si="3"/>
        <v>-397.29</v>
      </c>
      <c r="S25" s="35"/>
      <c r="T25" s="35">
        <f t="shared" si="13"/>
        <v>0</v>
      </c>
      <c r="U25" s="35">
        <f t="shared" si="14"/>
        <v>0</v>
      </c>
    </row>
    <row r="26" spans="1:21" x14ac:dyDescent="0.2">
      <c r="A26" s="20">
        <f t="shared" si="4"/>
        <v>15</v>
      </c>
      <c r="B26" s="21">
        <f t="shared" si="10"/>
        <v>43552</v>
      </c>
      <c r="C26" s="22">
        <v>0</v>
      </c>
      <c r="D26" s="30">
        <f t="shared" si="0"/>
        <v>0.93953505142463567</v>
      </c>
      <c r="E26" s="23">
        <f t="shared" si="5"/>
        <v>0</v>
      </c>
      <c r="G26" s="31">
        <f t="shared" si="11"/>
        <v>-95745.700754927413</v>
      </c>
      <c r="H26" s="32">
        <f t="shared" si="6"/>
        <v>-398.94</v>
      </c>
      <c r="I26" s="33">
        <f t="shared" si="7"/>
        <v>-96144.640754927415</v>
      </c>
      <c r="J26" s="26"/>
      <c r="K26" s="34">
        <f t="shared" si="8"/>
        <v>0</v>
      </c>
      <c r="L26" s="35">
        <f t="shared" si="9"/>
        <v>0</v>
      </c>
      <c r="M26" s="35">
        <f t="shared" si="15"/>
        <v>0</v>
      </c>
      <c r="N26" s="34">
        <f t="shared" si="12"/>
        <v>0</v>
      </c>
      <c r="O26" s="34">
        <f t="shared" si="1"/>
        <v>0</v>
      </c>
      <c r="P26" s="26"/>
      <c r="Q26" s="36">
        <f t="shared" si="2"/>
        <v>398.94</v>
      </c>
      <c r="R26" s="36">
        <f t="shared" si="3"/>
        <v>-398.94</v>
      </c>
      <c r="S26" s="35"/>
      <c r="T26" s="35">
        <f t="shared" si="13"/>
        <v>0</v>
      </c>
      <c r="U26" s="35">
        <f t="shared" si="14"/>
        <v>0</v>
      </c>
    </row>
    <row r="27" spans="1:21" x14ac:dyDescent="0.2">
      <c r="A27" s="20">
        <f t="shared" si="4"/>
        <v>16</v>
      </c>
      <c r="B27" s="21">
        <f t="shared" si="10"/>
        <v>43583</v>
      </c>
      <c r="C27" s="22">
        <v>0</v>
      </c>
      <c r="D27" s="30">
        <f t="shared" si="0"/>
        <v>0.93563656573407716</v>
      </c>
      <c r="E27" s="23">
        <f t="shared" si="5"/>
        <v>0</v>
      </c>
      <c r="G27" s="31">
        <f t="shared" si="11"/>
        <v>-96144.640754927415</v>
      </c>
      <c r="H27" s="32">
        <f t="shared" si="6"/>
        <v>-400.6</v>
      </c>
      <c r="I27" s="33">
        <f t="shared" si="7"/>
        <v>-96545.240754927421</v>
      </c>
      <c r="J27" s="26"/>
      <c r="K27" s="34">
        <f t="shared" si="8"/>
        <v>0</v>
      </c>
      <c r="L27" s="35">
        <f t="shared" si="9"/>
        <v>0</v>
      </c>
      <c r="M27" s="35">
        <f t="shared" si="15"/>
        <v>0</v>
      </c>
      <c r="N27" s="34">
        <f t="shared" si="12"/>
        <v>0</v>
      </c>
      <c r="O27" s="34">
        <f t="shared" si="1"/>
        <v>0</v>
      </c>
      <c r="P27" s="26"/>
      <c r="Q27" s="36">
        <f t="shared" si="2"/>
        <v>400.6</v>
      </c>
      <c r="R27" s="36">
        <f t="shared" si="3"/>
        <v>-400.6</v>
      </c>
      <c r="S27" s="35"/>
      <c r="T27" s="35">
        <f t="shared" si="13"/>
        <v>0</v>
      </c>
      <c r="U27" s="35">
        <f t="shared" si="14"/>
        <v>0</v>
      </c>
    </row>
    <row r="28" spans="1:21" x14ac:dyDescent="0.2">
      <c r="A28" s="20">
        <f t="shared" si="4"/>
        <v>17</v>
      </c>
      <c r="B28" s="21">
        <f t="shared" si="10"/>
        <v>43613</v>
      </c>
      <c r="C28" s="22">
        <v>0</v>
      </c>
      <c r="D28" s="30">
        <f t="shared" si="0"/>
        <v>0.93175425633269093</v>
      </c>
      <c r="E28" s="23">
        <f t="shared" si="5"/>
        <v>0</v>
      </c>
      <c r="G28" s="31">
        <f t="shared" si="11"/>
        <v>-96545.240754927421</v>
      </c>
      <c r="H28" s="32">
        <f t="shared" si="6"/>
        <v>-402.27</v>
      </c>
      <c r="I28" s="33">
        <f t="shared" si="7"/>
        <v>-96947.510754927425</v>
      </c>
      <c r="J28" s="26"/>
      <c r="K28" s="34">
        <f t="shared" si="8"/>
        <v>0</v>
      </c>
      <c r="L28" s="35">
        <f t="shared" si="9"/>
        <v>0</v>
      </c>
      <c r="M28" s="35">
        <f t="shared" si="15"/>
        <v>0</v>
      </c>
      <c r="N28" s="34">
        <f t="shared" si="12"/>
        <v>0</v>
      </c>
      <c r="O28" s="34">
        <f t="shared" si="1"/>
        <v>0</v>
      </c>
      <c r="P28" s="26"/>
      <c r="Q28" s="36">
        <f t="shared" si="2"/>
        <v>402.27</v>
      </c>
      <c r="R28" s="36">
        <f t="shared" si="3"/>
        <v>-402.27</v>
      </c>
      <c r="S28" s="35"/>
      <c r="T28" s="35">
        <f t="shared" si="13"/>
        <v>0</v>
      </c>
      <c r="U28" s="35">
        <f t="shared" si="14"/>
        <v>0</v>
      </c>
    </row>
    <row r="29" spans="1:21" x14ac:dyDescent="0.2">
      <c r="A29" s="20">
        <f t="shared" si="4"/>
        <v>18</v>
      </c>
      <c r="B29" s="21">
        <f t="shared" si="10"/>
        <v>43644</v>
      </c>
      <c r="C29" s="22">
        <v>0</v>
      </c>
      <c r="D29" s="30">
        <f t="shared" si="0"/>
        <v>0.92788805609894542</v>
      </c>
      <c r="E29" s="23">
        <f t="shared" si="5"/>
        <v>0</v>
      </c>
      <c r="G29" s="31">
        <f t="shared" si="11"/>
        <v>-96947.510754927425</v>
      </c>
      <c r="H29" s="32">
        <f t="shared" si="6"/>
        <v>-403.95</v>
      </c>
      <c r="I29" s="33">
        <f t="shared" si="7"/>
        <v>-97351.460754927422</v>
      </c>
      <c r="J29" s="26"/>
      <c r="K29" s="34">
        <f t="shared" si="8"/>
        <v>0</v>
      </c>
      <c r="L29" s="35">
        <f t="shared" si="9"/>
        <v>0</v>
      </c>
      <c r="M29" s="35">
        <f t="shared" si="15"/>
        <v>0</v>
      </c>
      <c r="N29" s="34">
        <f t="shared" si="12"/>
        <v>0</v>
      </c>
      <c r="O29" s="34">
        <f t="shared" si="1"/>
        <v>0</v>
      </c>
      <c r="P29" s="26"/>
      <c r="Q29" s="36">
        <f t="shared" si="2"/>
        <v>403.95</v>
      </c>
      <c r="R29" s="36">
        <f t="shared" si="3"/>
        <v>-403.95</v>
      </c>
      <c r="S29" s="35"/>
      <c r="T29" s="35">
        <f t="shared" si="13"/>
        <v>0</v>
      </c>
      <c r="U29" s="35">
        <f t="shared" si="14"/>
        <v>0</v>
      </c>
    </row>
    <row r="30" spans="1:21" x14ac:dyDescent="0.2">
      <c r="A30" s="20">
        <f t="shared" si="4"/>
        <v>19</v>
      </c>
      <c r="B30" s="21">
        <f t="shared" si="10"/>
        <v>43674</v>
      </c>
      <c r="C30" s="22">
        <v>0</v>
      </c>
      <c r="D30" s="30">
        <f t="shared" si="0"/>
        <v>0.92403789818982107</v>
      </c>
      <c r="E30" s="23">
        <f t="shared" si="5"/>
        <v>0</v>
      </c>
      <c r="G30" s="31">
        <f t="shared" si="11"/>
        <v>-97351.460754927422</v>
      </c>
      <c r="H30" s="32">
        <f t="shared" si="6"/>
        <v>-405.63</v>
      </c>
      <c r="I30" s="33">
        <f t="shared" si="7"/>
        <v>-97757.090754927427</v>
      </c>
      <c r="J30" s="26"/>
      <c r="K30" s="34">
        <f t="shared" si="8"/>
        <v>0</v>
      </c>
      <c r="L30" s="35">
        <f t="shared" si="9"/>
        <v>0</v>
      </c>
      <c r="M30" s="35">
        <f t="shared" si="15"/>
        <v>0</v>
      </c>
      <c r="N30" s="34">
        <f t="shared" si="12"/>
        <v>0</v>
      </c>
      <c r="O30" s="34">
        <f t="shared" si="1"/>
        <v>0</v>
      </c>
      <c r="P30" s="26"/>
      <c r="Q30" s="36">
        <f t="shared" si="2"/>
        <v>405.63</v>
      </c>
      <c r="R30" s="36">
        <f t="shared" si="3"/>
        <v>-405.63</v>
      </c>
      <c r="S30" s="35"/>
      <c r="T30" s="35">
        <f t="shared" si="13"/>
        <v>0</v>
      </c>
      <c r="U30" s="35">
        <f t="shared" si="14"/>
        <v>0</v>
      </c>
    </row>
    <row r="31" spans="1:21" x14ac:dyDescent="0.2">
      <c r="A31" s="20">
        <f t="shared" si="4"/>
        <v>20</v>
      </c>
      <c r="B31" s="21">
        <f t="shared" si="10"/>
        <v>43705</v>
      </c>
      <c r="C31" s="22">
        <v>0</v>
      </c>
      <c r="D31" s="30">
        <f t="shared" si="0"/>
        <v>0.92020371603965578</v>
      </c>
      <c r="E31" s="23">
        <f t="shared" si="5"/>
        <v>0</v>
      </c>
      <c r="G31" s="31">
        <f t="shared" si="11"/>
        <v>-97757.090754927427</v>
      </c>
      <c r="H31" s="32">
        <f t="shared" si="6"/>
        <v>-407.32</v>
      </c>
      <c r="I31" s="33">
        <f t="shared" si="7"/>
        <v>-98164.410754927434</v>
      </c>
      <c r="J31" s="26"/>
      <c r="K31" s="34">
        <f t="shared" si="8"/>
        <v>0</v>
      </c>
      <c r="L31" s="35">
        <f t="shared" si="9"/>
        <v>0</v>
      </c>
      <c r="M31" s="35">
        <f t="shared" si="15"/>
        <v>0</v>
      </c>
      <c r="N31" s="34">
        <f t="shared" si="12"/>
        <v>0</v>
      </c>
      <c r="O31" s="34">
        <f t="shared" si="1"/>
        <v>0</v>
      </c>
      <c r="P31" s="26"/>
      <c r="Q31" s="36">
        <f t="shared" si="2"/>
        <v>407.32</v>
      </c>
      <c r="R31" s="36">
        <f t="shared" si="3"/>
        <v>-407.32</v>
      </c>
      <c r="S31" s="35"/>
      <c r="T31" s="35">
        <f t="shared" si="13"/>
        <v>0</v>
      </c>
      <c r="U31" s="35">
        <f t="shared" si="14"/>
        <v>0</v>
      </c>
    </row>
    <row r="32" spans="1:21" x14ac:dyDescent="0.2">
      <c r="A32" s="20">
        <f t="shared" si="4"/>
        <v>21</v>
      </c>
      <c r="B32" s="21">
        <f t="shared" si="10"/>
        <v>43736</v>
      </c>
      <c r="C32" s="22">
        <v>0</v>
      </c>
      <c r="D32" s="30">
        <f t="shared" si="0"/>
        <v>0.9163854433589933</v>
      </c>
      <c r="E32" s="23">
        <f t="shared" si="5"/>
        <v>0</v>
      </c>
      <c r="G32" s="31">
        <f t="shared" si="11"/>
        <v>-98164.410754927434</v>
      </c>
      <c r="H32" s="32">
        <f t="shared" si="6"/>
        <v>-409.02</v>
      </c>
      <c r="I32" s="33">
        <f t="shared" si="7"/>
        <v>-98573.430754927438</v>
      </c>
      <c r="J32" s="26"/>
      <c r="K32" s="34">
        <f t="shared" si="8"/>
        <v>0</v>
      </c>
      <c r="L32" s="35">
        <f t="shared" si="9"/>
        <v>0</v>
      </c>
      <c r="M32" s="35">
        <f t="shared" si="15"/>
        <v>0</v>
      </c>
      <c r="N32" s="34">
        <f t="shared" si="12"/>
        <v>0</v>
      </c>
      <c r="O32" s="34">
        <f t="shared" si="1"/>
        <v>0</v>
      </c>
      <c r="P32" s="26"/>
      <c r="Q32" s="36">
        <f t="shared" si="2"/>
        <v>409.02</v>
      </c>
      <c r="R32" s="36">
        <f t="shared" si="3"/>
        <v>-409.02</v>
      </c>
      <c r="S32" s="35"/>
      <c r="T32" s="35">
        <f t="shared" si="13"/>
        <v>0</v>
      </c>
      <c r="U32" s="35">
        <f t="shared" si="14"/>
        <v>0</v>
      </c>
    </row>
    <row r="33" spans="1:21" x14ac:dyDescent="0.2">
      <c r="A33" s="20">
        <f t="shared" si="4"/>
        <v>22</v>
      </c>
      <c r="B33" s="21">
        <f t="shared" si="10"/>
        <v>43766</v>
      </c>
      <c r="C33" s="22">
        <v>0</v>
      </c>
      <c r="D33" s="30">
        <f t="shared" si="0"/>
        <v>0.91258301413343745</v>
      </c>
      <c r="E33" s="23">
        <f t="shared" si="5"/>
        <v>0</v>
      </c>
      <c r="G33" s="31">
        <f t="shared" si="11"/>
        <v>-98573.430754927438</v>
      </c>
      <c r="H33" s="32">
        <f t="shared" si="6"/>
        <v>-410.72</v>
      </c>
      <c r="I33" s="33">
        <f t="shared" si="7"/>
        <v>-98984.150754927439</v>
      </c>
      <c r="J33" s="26"/>
      <c r="K33" s="34">
        <f t="shared" si="8"/>
        <v>0</v>
      </c>
      <c r="L33" s="35">
        <f t="shared" si="9"/>
        <v>0</v>
      </c>
      <c r="M33" s="35">
        <f t="shared" si="15"/>
        <v>0</v>
      </c>
      <c r="N33" s="34">
        <f t="shared" si="12"/>
        <v>0</v>
      </c>
      <c r="O33" s="34">
        <f t="shared" si="1"/>
        <v>0</v>
      </c>
      <c r="P33" s="26"/>
      <c r="Q33" s="36">
        <f t="shared" si="2"/>
        <v>410.72</v>
      </c>
      <c r="R33" s="36">
        <f t="shared" si="3"/>
        <v>-410.72</v>
      </c>
      <c r="S33" s="35"/>
      <c r="T33" s="35">
        <f t="shared" si="13"/>
        <v>0</v>
      </c>
      <c r="U33" s="35">
        <f t="shared" si="14"/>
        <v>0</v>
      </c>
    </row>
    <row r="34" spans="1:21" x14ac:dyDescent="0.2">
      <c r="A34" s="20">
        <f t="shared" si="4"/>
        <v>23</v>
      </c>
      <c r="B34" s="21">
        <f t="shared" si="10"/>
        <v>43797</v>
      </c>
      <c r="C34" s="22">
        <v>0</v>
      </c>
      <c r="D34" s="30">
        <f t="shared" si="0"/>
        <v>0.90879636262250996</v>
      </c>
      <c r="E34" s="23">
        <f t="shared" si="5"/>
        <v>0</v>
      </c>
      <c r="G34" s="31">
        <f t="shared" si="11"/>
        <v>-98984.150754927439</v>
      </c>
      <c r="H34" s="32">
        <f t="shared" si="6"/>
        <v>-412.43</v>
      </c>
      <c r="I34" s="33">
        <f t="shared" si="7"/>
        <v>-99396.580754927432</v>
      </c>
      <c r="J34" s="26"/>
      <c r="K34" s="34">
        <f t="shared" si="8"/>
        <v>0</v>
      </c>
      <c r="L34" s="35">
        <f t="shared" si="9"/>
        <v>0</v>
      </c>
      <c r="M34" s="35">
        <f t="shared" si="15"/>
        <v>0</v>
      </c>
      <c r="N34" s="34">
        <f t="shared" si="12"/>
        <v>0</v>
      </c>
      <c r="O34" s="34">
        <f t="shared" si="1"/>
        <v>0</v>
      </c>
      <c r="P34" s="26"/>
      <c r="Q34" s="36">
        <f t="shared" si="2"/>
        <v>412.43</v>
      </c>
      <c r="R34" s="36">
        <f t="shared" si="3"/>
        <v>-412.43</v>
      </c>
      <c r="S34" s="35"/>
      <c r="T34" s="35">
        <f t="shared" si="13"/>
        <v>0</v>
      </c>
      <c r="U34" s="35">
        <f t="shared" si="14"/>
        <v>0</v>
      </c>
    </row>
    <row r="35" spans="1:21" x14ac:dyDescent="0.2">
      <c r="A35" s="20">
        <f t="shared" si="4"/>
        <v>24</v>
      </c>
      <c r="B35" s="21">
        <f t="shared" si="10"/>
        <v>43827</v>
      </c>
      <c r="C35" s="22">
        <v>0</v>
      </c>
      <c r="D35" s="30">
        <f t="shared" si="0"/>
        <v>0.90502542335851632</v>
      </c>
      <c r="E35" s="23">
        <f t="shared" si="5"/>
        <v>0</v>
      </c>
      <c r="G35" s="31">
        <f t="shared" si="11"/>
        <v>-99396.580754927432</v>
      </c>
      <c r="H35" s="32">
        <f t="shared" si="6"/>
        <v>-414.15</v>
      </c>
      <c r="I35" s="33">
        <f t="shared" si="7"/>
        <v>-99810.730754927426</v>
      </c>
      <c r="J35" s="26"/>
      <c r="K35" s="34">
        <f t="shared" si="8"/>
        <v>0</v>
      </c>
      <c r="L35" s="35">
        <f t="shared" si="9"/>
        <v>0</v>
      </c>
      <c r="M35" s="35">
        <f t="shared" si="15"/>
        <v>0</v>
      </c>
      <c r="N35" s="34">
        <f t="shared" si="12"/>
        <v>0</v>
      </c>
      <c r="O35" s="34">
        <f t="shared" si="1"/>
        <v>0</v>
      </c>
      <c r="P35" s="26"/>
      <c r="Q35" s="36">
        <f t="shared" si="2"/>
        <v>414.15</v>
      </c>
      <c r="R35" s="36">
        <f t="shared" si="3"/>
        <v>-414.15</v>
      </c>
      <c r="S35" s="35"/>
      <c r="T35" s="35">
        <f t="shared" si="13"/>
        <v>0</v>
      </c>
      <c r="U35" s="35">
        <f t="shared" si="14"/>
        <v>0</v>
      </c>
    </row>
    <row r="36" spans="1:21" x14ac:dyDescent="0.2">
      <c r="A36" s="20">
        <f t="shared" si="4"/>
        <v>25</v>
      </c>
      <c r="B36" s="21">
        <f t="shared" si="10"/>
        <v>43858</v>
      </c>
      <c r="C36" s="22">
        <v>0</v>
      </c>
      <c r="D36" s="30">
        <f t="shared" si="0"/>
        <v>0.90127013114541055</v>
      </c>
      <c r="E36" s="23">
        <f t="shared" si="5"/>
        <v>0</v>
      </c>
      <c r="G36" s="31">
        <f t="shared" si="11"/>
        <v>-99810.730754927426</v>
      </c>
      <c r="H36" s="32">
        <f t="shared" si="6"/>
        <v>-415.88</v>
      </c>
      <c r="I36" s="33">
        <f t="shared" si="7"/>
        <v>-100226.61075492743</v>
      </c>
      <c r="J36" s="26"/>
      <c r="K36" s="34">
        <f t="shared" si="8"/>
        <v>0</v>
      </c>
      <c r="L36" s="35">
        <f t="shared" si="9"/>
        <v>0</v>
      </c>
      <c r="M36" s="35">
        <f t="shared" si="15"/>
        <v>0</v>
      </c>
      <c r="N36" s="34">
        <f t="shared" si="12"/>
        <v>0</v>
      </c>
      <c r="O36" s="34">
        <f t="shared" si="1"/>
        <v>0</v>
      </c>
      <c r="P36" s="26"/>
      <c r="Q36" s="36">
        <f t="shared" si="2"/>
        <v>415.88</v>
      </c>
      <c r="R36" s="36">
        <f t="shared" si="3"/>
        <v>-415.88</v>
      </c>
      <c r="S36" s="35"/>
      <c r="T36" s="35">
        <f t="shared" si="13"/>
        <v>0</v>
      </c>
      <c r="U36" s="35">
        <f t="shared" si="14"/>
        <v>0</v>
      </c>
    </row>
    <row r="37" spans="1:21" x14ac:dyDescent="0.2">
      <c r="A37" s="20">
        <f t="shared" si="4"/>
        <v>26</v>
      </c>
      <c r="B37" s="21">
        <f t="shared" si="10"/>
        <v>43889</v>
      </c>
      <c r="C37" s="22">
        <v>0</v>
      </c>
      <c r="D37" s="30">
        <f t="shared" si="0"/>
        <v>0.89753042105767</v>
      </c>
      <c r="E37" s="23">
        <f t="shared" si="5"/>
        <v>0</v>
      </c>
      <c r="G37" s="31">
        <f t="shared" si="11"/>
        <v>-100226.61075492743</v>
      </c>
      <c r="H37" s="32">
        <f t="shared" si="6"/>
        <v>-417.61</v>
      </c>
      <c r="I37" s="33">
        <f t="shared" si="7"/>
        <v>-100644.22075492743</v>
      </c>
      <c r="J37" s="26"/>
      <c r="K37" s="34">
        <f t="shared" si="8"/>
        <v>0</v>
      </c>
      <c r="L37" s="35">
        <f t="shared" si="9"/>
        <v>0</v>
      </c>
      <c r="M37" s="35">
        <f t="shared" si="15"/>
        <v>0</v>
      </c>
      <c r="N37" s="34">
        <f t="shared" si="12"/>
        <v>0</v>
      </c>
      <c r="O37" s="34">
        <f t="shared" si="1"/>
        <v>0</v>
      </c>
      <c r="P37" s="26"/>
      <c r="Q37" s="36">
        <f t="shared" si="2"/>
        <v>417.61</v>
      </c>
      <c r="R37" s="36">
        <f t="shared" si="3"/>
        <v>-417.61</v>
      </c>
      <c r="S37" s="35"/>
      <c r="T37" s="35">
        <f t="shared" si="13"/>
        <v>0</v>
      </c>
      <c r="U37" s="35">
        <f t="shared" si="14"/>
        <v>0</v>
      </c>
    </row>
    <row r="38" spans="1:21" x14ac:dyDescent="0.2">
      <c r="A38" s="20">
        <f t="shared" si="4"/>
        <v>27</v>
      </c>
      <c r="B38" s="21">
        <f t="shared" si="10"/>
        <v>43918</v>
      </c>
      <c r="C38" s="22">
        <v>0</v>
      </c>
      <c r="D38" s="30">
        <f t="shared" si="0"/>
        <v>0.89380622843917368</v>
      </c>
      <c r="E38" s="23">
        <f t="shared" si="5"/>
        <v>0</v>
      </c>
      <c r="G38" s="31">
        <f t="shared" si="11"/>
        <v>-100644.22075492743</v>
      </c>
      <c r="H38" s="32">
        <f t="shared" si="6"/>
        <v>-419.35</v>
      </c>
      <c r="I38" s="33">
        <f t="shared" si="7"/>
        <v>-101063.57075492744</v>
      </c>
      <c r="J38" s="26"/>
      <c r="K38" s="34">
        <f t="shared" si="8"/>
        <v>0</v>
      </c>
      <c r="L38" s="35">
        <f t="shared" si="9"/>
        <v>0</v>
      </c>
      <c r="M38" s="35">
        <f t="shared" si="15"/>
        <v>0</v>
      </c>
      <c r="N38" s="34">
        <f t="shared" si="12"/>
        <v>0</v>
      </c>
      <c r="O38" s="34">
        <f t="shared" si="1"/>
        <v>0</v>
      </c>
      <c r="P38" s="26"/>
      <c r="Q38" s="36">
        <f t="shared" si="2"/>
        <v>419.35</v>
      </c>
      <c r="R38" s="36">
        <f t="shared" si="3"/>
        <v>-419.35</v>
      </c>
      <c r="S38" s="35"/>
      <c r="T38" s="35">
        <f t="shared" si="13"/>
        <v>0</v>
      </c>
      <c r="U38" s="35">
        <f t="shared" si="14"/>
        <v>0</v>
      </c>
    </row>
    <row r="39" spans="1:21" x14ac:dyDescent="0.2">
      <c r="A39" s="20">
        <f t="shared" si="4"/>
        <v>28</v>
      </c>
      <c r="B39" s="21">
        <f t="shared" si="10"/>
        <v>43949</v>
      </c>
      <c r="C39" s="22">
        <v>0</v>
      </c>
      <c r="D39" s="30">
        <f t="shared" si="0"/>
        <v>0.89009748890208162</v>
      </c>
      <c r="E39" s="23">
        <f t="shared" si="5"/>
        <v>0</v>
      </c>
      <c r="G39" s="31">
        <f t="shared" si="11"/>
        <v>-101063.57075492744</v>
      </c>
      <c r="H39" s="32">
        <f t="shared" si="6"/>
        <v>-421.1</v>
      </c>
      <c r="I39" s="33">
        <f t="shared" si="7"/>
        <v>-101484.67075492744</v>
      </c>
      <c r="J39" s="26"/>
      <c r="K39" s="34">
        <f t="shared" si="8"/>
        <v>0</v>
      </c>
      <c r="L39" s="35">
        <f t="shared" si="9"/>
        <v>0</v>
      </c>
      <c r="M39" s="35">
        <f t="shared" si="15"/>
        <v>0</v>
      </c>
      <c r="N39" s="34">
        <f t="shared" si="12"/>
        <v>0</v>
      </c>
      <c r="O39" s="34">
        <f t="shared" si="1"/>
        <v>0</v>
      </c>
      <c r="P39" s="26"/>
      <c r="Q39" s="36">
        <f t="shared" si="2"/>
        <v>421.1</v>
      </c>
      <c r="R39" s="36">
        <f t="shared" si="3"/>
        <v>-421.1</v>
      </c>
      <c r="S39" s="35"/>
      <c r="T39" s="35">
        <f t="shared" si="13"/>
        <v>0</v>
      </c>
      <c r="U39" s="35">
        <f t="shared" si="14"/>
        <v>0</v>
      </c>
    </row>
    <row r="40" spans="1:21" x14ac:dyDescent="0.2">
      <c r="A40" s="20">
        <f t="shared" si="4"/>
        <v>29</v>
      </c>
      <c r="B40" s="21">
        <f t="shared" si="10"/>
        <v>43979</v>
      </c>
      <c r="C40" s="22">
        <v>0</v>
      </c>
      <c r="D40" s="30">
        <f t="shared" si="0"/>
        <v>0.88640413832572451</v>
      </c>
      <c r="E40" s="23">
        <f t="shared" si="5"/>
        <v>0</v>
      </c>
      <c r="G40" s="31">
        <f t="shared" si="11"/>
        <v>-101484.67075492744</v>
      </c>
      <c r="H40" s="32">
        <f t="shared" si="6"/>
        <v>-422.85</v>
      </c>
      <c r="I40" s="33">
        <f t="shared" si="7"/>
        <v>-101907.52075492745</v>
      </c>
      <c r="J40" s="26"/>
      <c r="K40" s="34">
        <f t="shared" si="8"/>
        <v>0</v>
      </c>
      <c r="L40" s="35">
        <f t="shared" si="9"/>
        <v>0</v>
      </c>
      <c r="M40" s="35">
        <f t="shared" si="15"/>
        <v>0</v>
      </c>
      <c r="N40" s="34">
        <f t="shared" si="12"/>
        <v>0</v>
      </c>
      <c r="O40" s="34">
        <f t="shared" si="1"/>
        <v>0</v>
      </c>
      <c r="P40" s="26"/>
      <c r="Q40" s="36">
        <f t="shared" si="2"/>
        <v>422.85</v>
      </c>
      <c r="R40" s="36">
        <f t="shared" si="3"/>
        <v>-422.85</v>
      </c>
      <c r="S40" s="35"/>
      <c r="T40" s="35">
        <f t="shared" si="13"/>
        <v>0</v>
      </c>
      <c r="U40" s="35">
        <f t="shared" si="14"/>
        <v>0</v>
      </c>
    </row>
    <row r="41" spans="1:21" x14ac:dyDescent="0.2">
      <c r="A41" s="20">
        <f t="shared" si="4"/>
        <v>30</v>
      </c>
      <c r="B41" s="21">
        <f t="shared" si="10"/>
        <v>44010</v>
      </c>
      <c r="C41" s="22">
        <v>0</v>
      </c>
      <c r="D41" s="30">
        <f t="shared" si="0"/>
        <v>0.88272611285549329</v>
      </c>
      <c r="E41" s="23">
        <f t="shared" si="5"/>
        <v>0</v>
      </c>
      <c r="G41" s="31">
        <f t="shared" si="11"/>
        <v>-101907.52075492745</v>
      </c>
      <c r="H41" s="32">
        <f t="shared" si="6"/>
        <v>-424.61</v>
      </c>
      <c r="I41" s="33">
        <f t="shared" si="7"/>
        <v>-102332.13075492745</v>
      </c>
      <c r="J41" s="26"/>
      <c r="K41" s="34">
        <f t="shared" si="8"/>
        <v>0</v>
      </c>
      <c r="L41" s="35">
        <f t="shared" si="9"/>
        <v>0</v>
      </c>
      <c r="M41" s="35">
        <f t="shared" si="15"/>
        <v>0</v>
      </c>
      <c r="N41" s="34">
        <f t="shared" si="12"/>
        <v>0</v>
      </c>
      <c r="O41" s="34">
        <f t="shared" si="1"/>
        <v>0</v>
      </c>
      <c r="P41" s="26"/>
      <c r="Q41" s="36">
        <f t="shared" si="2"/>
        <v>424.61</v>
      </c>
      <c r="R41" s="36">
        <f t="shared" si="3"/>
        <v>-424.61</v>
      </c>
      <c r="S41" s="35"/>
      <c r="T41" s="35">
        <f t="shared" si="13"/>
        <v>0</v>
      </c>
      <c r="U41" s="35">
        <f t="shared" si="14"/>
        <v>0</v>
      </c>
    </row>
    <row r="42" spans="1:21" x14ac:dyDescent="0.2">
      <c r="A42" s="20">
        <f t="shared" si="4"/>
        <v>31</v>
      </c>
      <c r="B42" s="21">
        <f t="shared" si="10"/>
        <v>44040</v>
      </c>
      <c r="C42" s="22">
        <v>0</v>
      </c>
      <c r="D42" s="30">
        <f t="shared" si="0"/>
        <v>0.87906334890173565</v>
      </c>
      <c r="E42" s="23">
        <f t="shared" si="5"/>
        <v>0</v>
      </c>
      <c r="G42" s="31">
        <f t="shared" si="11"/>
        <v>-102332.13075492745</v>
      </c>
      <c r="H42" s="32">
        <f t="shared" si="6"/>
        <v>-426.38</v>
      </c>
      <c r="I42" s="33">
        <f t="shared" si="7"/>
        <v>-102758.51075492745</v>
      </c>
      <c r="J42" s="26"/>
      <c r="K42" s="34">
        <f t="shared" si="8"/>
        <v>0</v>
      </c>
      <c r="L42" s="35">
        <f t="shared" si="9"/>
        <v>0</v>
      </c>
      <c r="M42" s="35">
        <f t="shared" si="15"/>
        <v>0</v>
      </c>
      <c r="N42" s="34">
        <f t="shared" si="12"/>
        <v>0</v>
      </c>
      <c r="O42" s="34">
        <f t="shared" si="1"/>
        <v>0</v>
      </c>
      <c r="P42" s="26"/>
      <c r="Q42" s="36">
        <f t="shared" si="2"/>
        <v>426.38</v>
      </c>
      <c r="R42" s="36">
        <f t="shared" si="3"/>
        <v>-426.38</v>
      </c>
      <c r="S42" s="35"/>
      <c r="T42" s="35">
        <f t="shared" si="13"/>
        <v>0</v>
      </c>
      <c r="U42" s="35">
        <f t="shared" si="14"/>
        <v>0</v>
      </c>
    </row>
    <row r="43" spans="1:21" x14ac:dyDescent="0.2">
      <c r="A43" s="20">
        <f t="shared" si="4"/>
        <v>32</v>
      </c>
      <c r="B43" s="21">
        <f t="shared" si="10"/>
        <v>44071</v>
      </c>
      <c r="C43" s="22">
        <v>0</v>
      </c>
      <c r="D43" s="30">
        <f t="shared" si="0"/>
        <v>0.87541578313865809</v>
      </c>
      <c r="E43" s="23">
        <f t="shared" si="5"/>
        <v>0</v>
      </c>
      <c r="G43" s="31">
        <f t="shared" si="11"/>
        <v>-102758.51075492745</v>
      </c>
      <c r="H43" s="32">
        <f t="shared" si="6"/>
        <v>-428.16</v>
      </c>
      <c r="I43" s="33">
        <f t="shared" si="7"/>
        <v>-103186.67075492746</v>
      </c>
      <c r="J43" s="26"/>
      <c r="K43" s="34">
        <f t="shared" si="8"/>
        <v>0</v>
      </c>
      <c r="L43" s="35">
        <f t="shared" si="9"/>
        <v>0</v>
      </c>
      <c r="M43" s="35">
        <f t="shared" si="15"/>
        <v>0</v>
      </c>
      <c r="N43" s="34">
        <f t="shared" si="12"/>
        <v>0</v>
      </c>
      <c r="O43" s="34">
        <f t="shared" si="1"/>
        <v>0</v>
      </c>
      <c r="P43" s="26"/>
      <c r="Q43" s="36">
        <f t="shared" si="2"/>
        <v>428.16</v>
      </c>
      <c r="R43" s="36">
        <f t="shared" si="3"/>
        <v>-428.16</v>
      </c>
      <c r="S43" s="35"/>
      <c r="T43" s="35">
        <f t="shared" si="13"/>
        <v>0</v>
      </c>
      <c r="U43" s="35">
        <f t="shared" si="14"/>
        <v>0</v>
      </c>
    </row>
    <row r="44" spans="1:21" x14ac:dyDescent="0.2">
      <c r="A44" s="20">
        <f t="shared" si="4"/>
        <v>33</v>
      </c>
      <c r="B44" s="21">
        <f t="shared" si="10"/>
        <v>44102</v>
      </c>
      <c r="C44" s="22">
        <v>0</v>
      </c>
      <c r="D44" s="30">
        <f t="shared" si="0"/>
        <v>0.87178335250322792</v>
      </c>
      <c r="E44" s="23">
        <f t="shared" si="5"/>
        <v>0</v>
      </c>
      <c r="G44" s="31">
        <f t="shared" si="11"/>
        <v>-103186.67075492746</v>
      </c>
      <c r="H44" s="32">
        <f t="shared" si="6"/>
        <v>-429.94</v>
      </c>
      <c r="I44" s="33">
        <f t="shared" si="7"/>
        <v>-103616.61075492746</v>
      </c>
      <c r="J44" s="26"/>
      <c r="K44" s="34">
        <f t="shared" si="8"/>
        <v>0</v>
      </c>
      <c r="L44" s="35">
        <f t="shared" si="9"/>
        <v>0</v>
      </c>
      <c r="M44" s="35">
        <f t="shared" si="15"/>
        <v>0</v>
      </c>
      <c r="N44" s="34">
        <f t="shared" si="12"/>
        <v>0</v>
      </c>
      <c r="O44" s="34">
        <f t="shared" si="1"/>
        <v>0</v>
      </c>
      <c r="P44" s="26"/>
      <c r="Q44" s="36">
        <f t="shared" si="2"/>
        <v>429.94</v>
      </c>
      <c r="R44" s="36">
        <f t="shared" si="3"/>
        <v>-429.94</v>
      </c>
      <c r="S44" s="35"/>
      <c r="T44" s="35">
        <f t="shared" si="13"/>
        <v>0</v>
      </c>
      <c r="U44" s="35">
        <f t="shared" si="14"/>
        <v>0</v>
      </c>
    </row>
    <row r="45" spans="1:21" x14ac:dyDescent="0.2">
      <c r="A45" s="20">
        <f t="shared" si="4"/>
        <v>34</v>
      </c>
      <c r="B45" s="21">
        <f t="shared" si="10"/>
        <v>44132</v>
      </c>
      <c r="C45" s="22">
        <v>0</v>
      </c>
      <c r="D45" s="30">
        <f t="shared" si="0"/>
        <v>0.86816599419408602</v>
      </c>
      <c r="E45" s="23">
        <f t="shared" si="5"/>
        <v>0</v>
      </c>
      <c r="G45" s="31">
        <f t="shared" si="11"/>
        <v>-103616.61075492746</v>
      </c>
      <c r="H45" s="32">
        <f t="shared" si="6"/>
        <v>-431.74</v>
      </c>
      <c r="I45" s="33">
        <f t="shared" si="7"/>
        <v>-104048.35075492747</v>
      </c>
      <c r="J45" s="26"/>
      <c r="K45" s="34">
        <f t="shared" si="8"/>
        <v>0</v>
      </c>
      <c r="L45" s="35">
        <f t="shared" si="9"/>
        <v>0</v>
      </c>
      <c r="M45" s="35">
        <f t="shared" si="15"/>
        <v>0</v>
      </c>
      <c r="N45" s="34">
        <f t="shared" si="12"/>
        <v>0</v>
      </c>
      <c r="O45" s="34">
        <f t="shared" si="1"/>
        <v>0</v>
      </c>
      <c r="P45" s="26"/>
      <c r="Q45" s="36">
        <f t="shared" si="2"/>
        <v>431.74</v>
      </c>
      <c r="R45" s="36">
        <f t="shared" si="3"/>
        <v>-431.74</v>
      </c>
      <c r="S45" s="35"/>
      <c r="T45" s="35">
        <f t="shared" si="13"/>
        <v>0</v>
      </c>
      <c r="U45" s="35">
        <f t="shared" si="14"/>
        <v>0</v>
      </c>
    </row>
    <row r="46" spans="1:21" x14ac:dyDescent="0.2">
      <c r="A46" s="20">
        <f t="shared" si="4"/>
        <v>35</v>
      </c>
      <c r="B46" s="21">
        <f t="shared" si="10"/>
        <v>44163</v>
      </c>
      <c r="C46" s="22">
        <v>0</v>
      </c>
      <c r="D46" s="30">
        <f t="shared" si="0"/>
        <v>0.86456364567045896</v>
      </c>
      <c r="E46" s="23">
        <f t="shared" si="5"/>
        <v>0</v>
      </c>
      <c r="G46" s="31">
        <f t="shared" si="11"/>
        <v>-104048.35075492747</v>
      </c>
      <c r="H46" s="32">
        <f t="shared" si="6"/>
        <v>-433.53</v>
      </c>
      <c r="I46" s="33">
        <f t="shared" si="7"/>
        <v>-104481.88075492746</v>
      </c>
      <c r="J46" s="26"/>
      <c r="K46" s="34">
        <f t="shared" si="8"/>
        <v>0</v>
      </c>
      <c r="L46" s="35">
        <f t="shared" si="9"/>
        <v>0</v>
      </c>
      <c r="M46" s="35">
        <f t="shared" si="15"/>
        <v>0</v>
      </c>
      <c r="N46" s="34">
        <f t="shared" si="12"/>
        <v>0</v>
      </c>
      <c r="O46" s="34">
        <f t="shared" si="1"/>
        <v>0</v>
      </c>
      <c r="P46" s="26"/>
      <c r="Q46" s="36">
        <f t="shared" si="2"/>
        <v>433.53</v>
      </c>
      <c r="R46" s="36">
        <f t="shared" si="3"/>
        <v>-433.53</v>
      </c>
      <c r="S46" s="35"/>
      <c r="T46" s="35">
        <f t="shared" si="13"/>
        <v>0</v>
      </c>
      <c r="U46" s="35">
        <f t="shared" si="14"/>
        <v>0</v>
      </c>
    </row>
    <row r="47" spans="1:21" x14ac:dyDescent="0.2">
      <c r="A47" s="20">
        <f t="shared" si="4"/>
        <v>36</v>
      </c>
      <c r="B47" s="21">
        <f t="shared" si="10"/>
        <v>44193</v>
      </c>
      <c r="C47" s="22">
        <v>0</v>
      </c>
      <c r="D47" s="30">
        <f t="shared" si="0"/>
        <v>0.86097624465107958</v>
      </c>
      <c r="E47" s="23">
        <f t="shared" si="5"/>
        <v>0</v>
      </c>
      <c r="G47" s="31">
        <f t="shared" si="11"/>
        <v>-104481.88075492746</v>
      </c>
      <c r="H47" s="32">
        <f t="shared" si="6"/>
        <v>-435.34</v>
      </c>
      <c r="I47" s="33">
        <f t="shared" si="7"/>
        <v>-104917.22075492746</v>
      </c>
      <c r="J47" s="26"/>
      <c r="K47" s="34">
        <f t="shared" si="8"/>
        <v>0</v>
      </c>
      <c r="L47" s="35">
        <f t="shared" si="9"/>
        <v>0</v>
      </c>
      <c r="M47" s="35">
        <f t="shared" si="15"/>
        <v>0</v>
      </c>
      <c r="N47" s="34">
        <f t="shared" si="12"/>
        <v>0</v>
      </c>
      <c r="O47" s="34">
        <f t="shared" si="1"/>
        <v>0</v>
      </c>
      <c r="P47" s="26"/>
      <c r="Q47" s="36">
        <f t="shared" si="2"/>
        <v>435.34</v>
      </c>
      <c r="R47" s="36">
        <f t="shared" si="3"/>
        <v>-435.34</v>
      </c>
      <c r="S47" s="35"/>
      <c r="T47" s="35">
        <f t="shared" si="13"/>
        <v>0</v>
      </c>
      <c r="U47" s="35">
        <f t="shared" si="14"/>
        <v>0</v>
      </c>
    </row>
    <row r="48" spans="1:21" x14ac:dyDescent="0.2">
      <c r="A48" s="20">
        <f t="shared" si="4"/>
        <v>37</v>
      </c>
      <c r="B48" s="21">
        <f t="shared" si="10"/>
        <v>44224</v>
      </c>
      <c r="C48" s="22">
        <v>0</v>
      </c>
      <c r="D48" s="30">
        <f t="shared" si="0"/>
        <v>0.85740372911310836</v>
      </c>
      <c r="E48" s="23">
        <f t="shared" si="5"/>
        <v>0</v>
      </c>
      <c r="G48" s="31">
        <f t="shared" si="11"/>
        <v>-104917.22075492746</v>
      </c>
      <c r="H48" s="32">
        <f t="shared" si="6"/>
        <v>-437.16</v>
      </c>
      <c r="I48" s="33">
        <f t="shared" si="7"/>
        <v>-105354.38075492746</v>
      </c>
      <c r="J48" s="26"/>
      <c r="K48" s="34">
        <f t="shared" si="8"/>
        <v>0</v>
      </c>
      <c r="L48" s="35">
        <f t="shared" si="9"/>
        <v>0</v>
      </c>
      <c r="M48" s="35">
        <f t="shared" si="15"/>
        <v>0</v>
      </c>
      <c r="N48" s="34">
        <f t="shared" si="12"/>
        <v>0</v>
      </c>
      <c r="O48" s="34">
        <f t="shared" si="1"/>
        <v>0</v>
      </c>
      <c r="P48" s="26"/>
      <c r="Q48" s="36">
        <f t="shared" si="2"/>
        <v>437.16</v>
      </c>
      <c r="R48" s="36">
        <f t="shared" si="3"/>
        <v>-437.16</v>
      </c>
      <c r="S48" s="35"/>
      <c r="T48" s="35">
        <f t="shared" si="13"/>
        <v>0</v>
      </c>
      <c r="U48" s="35">
        <f t="shared" si="14"/>
        <v>0</v>
      </c>
    </row>
    <row r="49" spans="1:21" x14ac:dyDescent="0.2">
      <c r="A49" s="20">
        <f t="shared" si="4"/>
        <v>38</v>
      </c>
      <c r="B49" s="21">
        <f t="shared" si="10"/>
        <v>44255</v>
      </c>
      <c r="C49" s="22">
        <v>0</v>
      </c>
      <c r="D49" s="30">
        <f t="shared" si="0"/>
        <v>0.85384603729106212</v>
      </c>
      <c r="E49" s="23">
        <f t="shared" si="5"/>
        <v>0</v>
      </c>
      <c r="G49" s="31">
        <f t="shared" si="11"/>
        <v>-105354.38075492746</v>
      </c>
      <c r="H49" s="32">
        <f t="shared" si="6"/>
        <v>-438.98</v>
      </c>
      <c r="I49" s="33">
        <f t="shared" si="7"/>
        <v>-105793.36075492746</v>
      </c>
      <c r="J49" s="26"/>
      <c r="K49" s="34">
        <f t="shared" si="8"/>
        <v>0</v>
      </c>
      <c r="L49" s="35">
        <f t="shared" si="9"/>
        <v>0</v>
      </c>
      <c r="M49" s="35">
        <f t="shared" si="15"/>
        <v>0</v>
      </c>
      <c r="N49" s="34">
        <f t="shared" si="12"/>
        <v>0</v>
      </c>
      <c r="O49" s="34">
        <f t="shared" si="1"/>
        <v>0</v>
      </c>
      <c r="P49" s="26"/>
      <c r="Q49" s="36">
        <f t="shared" si="2"/>
        <v>438.98</v>
      </c>
      <c r="R49" s="36">
        <f t="shared" si="3"/>
        <v>-438.98</v>
      </c>
      <c r="S49" s="35"/>
      <c r="T49" s="35">
        <f t="shared" si="13"/>
        <v>0</v>
      </c>
      <c r="U49" s="35">
        <f t="shared" si="14"/>
        <v>0</v>
      </c>
    </row>
    <row r="50" spans="1:21" x14ac:dyDescent="0.2">
      <c r="A50" s="20">
        <f t="shared" si="4"/>
        <v>39</v>
      </c>
      <c r="B50" s="21">
        <f t="shared" si="10"/>
        <v>44283</v>
      </c>
      <c r="C50" s="22">
        <v>0</v>
      </c>
      <c r="D50" s="30">
        <f t="shared" si="0"/>
        <v>0.85030310767574646</v>
      </c>
      <c r="E50" s="23">
        <f t="shared" si="5"/>
        <v>0</v>
      </c>
      <c r="G50" s="31">
        <f t="shared" si="11"/>
        <v>-105793.36075492746</v>
      </c>
      <c r="H50" s="32">
        <f t="shared" si="6"/>
        <v>-440.81</v>
      </c>
      <c r="I50" s="33">
        <f t="shared" si="7"/>
        <v>-106234.17075492746</v>
      </c>
      <c r="J50" s="26"/>
      <c r="K50" s="34">
        <f t="shared" si="8"/>
        <v>0</v>
      </c>
      <c r="L50" s="35">
        <f t="shared" si="9"/>
        <v>0</v>
      </c>
      <c r="M50" s="35">
        <f t="shared" si="15"/>
        <v>0</v>
      </c>
      <c r="N50" s="34">
        <f t="shared" si="12"/>
        <v>0</v>
      </c>
      <c r="O50" s="34">
        <f t="shared" si="1"/>
        <v>0</v>
      </c>
      <c r="P50" s="26"/>
      <c r="Q50" s="36">
        <f t="shared" si="2"/>
        <v>440.81</v>
      </c>
      <c r="R50" s="36">
        <f t="shared" si="3"/>
        <v>-440.81</v>
      </c>
      <c r="S50" s="35"/>
      <c r="T50" s="35">
        <f t="shared" si="13"/>
        <v>0</v>
      </c>
      <c r="U50" s="35">
        <f t="shared" si="14"/>
        <v>0</v>
      </c>
    </row>
    <row r="51" spans="1:21" x14ac:dyDescent="0.2">
      <c r="A51" s="20">
        <f t="shared" si="4"/>
        <v>40</v>
      </c>
      <c r="B51" s="21">
        <f t="shared" si="10"/>
        <v>44314</v>
      </c>
      <c r="C51" s="22">
        <v>0</v>
      </c>
      <c r="D51" s="30">
        <f t="shared" si="0"/>
        <v>0.84677487901319159</v>
      </c>
      <c r="E51" s="23">
        <f t="shared" si="5"/>
        <v>0</v>
      </c>
      <c r="G51" s="31">
        <f t="shared" si="11"/>
        <v>-106234.17075492746</v>
      </c>
      <c r="H51" s="32">
        <f t="shared" si="6"/>
        <v>-442.64</v>
      </c>
      <c r="I51" s="33">
        <f t="shared" si="7"/>
        <v>-106676.81075492746</v>
      </c>
      <c r="J51" s="26"/>
      <c r="K51" s="34">
        <f t="shared" si="8"/>
        <v>0</v>
      </c>
      <c r="L51" s="35">
        <f t="shared" si="9"/>
        <v>0</v>
      </c>
      <c r="M51" s="35">
        <f t="shared" si="15"/>
        <v>0</v>
      </c>
      <c r="N51" s="34">
        <f t="shared" si="12"/>
        <v>0</v>
      </c>
      <c r="O51" s="34">
        <f t="shared" si="1"/>
        <v>0</v>
      </c>
      <c r="P51" s="26"/>
      <c r="Q51" s="36">
        <f t="shared" si="2"/>
        <v>442.64</v>
      </c>
      <c r="R51" s="36">
        <f t="shared" si="3"/>
        <v>-442.64</v>
      </c>
      <c r="S51" s="35"/>
      <c r="T51" s="35">
        <f t="shared" si="13"/>
        <v>0</v>
      </c>
      <c r="U51" s="35">
        <f t="shared" si="14"/>
        <v>0</v>
      </c>
    </row>
    <row r="52" spans="1:21" x14ac:dyDescent="0.2">
      <c r="A52" s="20">
        <f t="shared" si="4"/>
        <v>41</v>
      </c>
      <c r="B52" s="21">
        <f t="shared" si="10"/>
        <v>44344</v>
      </c>
      <c r="C52" s="22">
        <v>0</v>
      </c>
      <c r="D52" s="30">
        <f t="shared" si="0"/>
        <v>0.84326129030359331</v>
      </c>
      <c r="E52" s="23">
        <f t="shared" si="5"/>
        <v>0</v>
      </c>
      <c r="G52" s="31">
        <f t="shared" si="11"/>
        <v>-106676.81075492746</v>
      </c>
      <c r="H52" s="32">
        <f t="shared" si="6"/>
        <v>-444.49</v>
      </c>
      <c r="I52" s="33">
        <f t="shared" si="7"/>
        <v>-107121.30075492746</v>
      </c>
      <c r="J52" s="26"/>
      <c r="K52" s="34">
        <f t="shared" si="8"/>
        <v>0</v>
      </c>
      <c r="L52" s="35">
        <f t="shared" si="9"/>
        <v>0</v>
      </c>
      <c r="M52" s="35">
        <f t="shared" si="15"/>
        <v>0</v>
      </c>
      <c r="N52" s="34">
        <f t="shared" si="12"/>
        <v>0</v>
      </c>
      <c r="O52" s="34">
        <f t="shared" si="1"/>
        <v>0</v>
      </c>
      <c r="P52" s="26"/>
      <c r="Q52" s="36">
        <f t="shared" si="2"/>
        <v>444.49</v>
      </c>
      <c r="R52" s="36">
        <f t="shared" si="3"/>
        <v>-444.49</v>
      </c>
      <c r="S52" s="35"/>
      <c r="T52" s="35">
        <f t="shared" si="13"/>
        <v>0</v>
      </c>
      <c r="U52" s="35">
        <f t="shared" si="14"/>
        <v>0</v>
      </c>
    </row>
    <row r="53" spans="1:21" x14ac:dyDescent="0.2">
      <c r="A53" s="20">
        <f t="shared" si="4"/>
        <v>42</v>
      </c>
      <c r="B53" s="21">
        <f t="shared" si="10"/>
        <v>44375</v>
      </c>
      <c r="C53" s="22">
        <v>0</v>
      </c>
      <c r="D53" s="30">
        <f t="shared" si="0"/>
        <v>0.83976228080025861</v>
      </c>
      <c r="E53" s="23">
        <f t="shared" si="5"/>
        <v>0</v>
      </c>
      <c r="G53" s="31">
        <f t="shared" si="11"/>
        <v>-107121.30075492746</v>
      </c>
      <c r="H53" s="32">
        <f t="shared" si="6"/>
        <v>-446.34</v>
      </c>
      <c r="I53" s="33">
        <f t="shared" si="7"/>
        <v>-107567.64075492746</v>
      </c>
      <c r="J53" s="26"/>
      <c r="K53" s="34">
        <f t="shared" si="8"/>
        <v>0</v>
      </c>
      <c r="L53" s="35">
        <f t="shared" si="9"/>
        <v>0</v>
      </c>
      <c r="M53" s="35">
        <f t="shared" si="15"/>
        <v>0</v>
      </c>
      <c r="N53" s="34">
        <f t="shared" si="12"/>
        <v>0</v>
      </c>
      <c r="O53" s="34">
        <f t="shared" si="1"/>
        <v>0</v>
      </c>
      <c r="P53" s="26"/>
      <c r="Q53" s="36">
        <f t="shared" si="2"/>
        <v>446.34</v>
      </c>
      <c r="R53" s="36">
        <f t="shared" si="3"/>
        <v>-446.34</v>
      </c>
      <c r="S53" s="35"/>
      <c r="T53" s="35">
        <f t="shared" si="13"/>
        <v>0</v>
      </c>
      <c r="U53" s="35">
        <f t="shared" si="14"/>
        <v>0</v>
      </c>
    </row>
    <row r="54" spans="1:21" x14ac:dyDescent="0.2">
      <c r="A54" s="20">
        <f t="shared" si="4"/>
        <v>43</v>
      </c>
      <c r="B54" s="21">
        <f t="shared" si="10"/>
        <v>44405</v>
      </c>
      <c r="C54" s="22">
        <v>0</v>
      </c>
      <c r="D54" s="30">
        <f t="shared" si="0"/>
        <v>0.83627779000855651</v>
      </c>
      <c r="E54" s="23">
        <f t="shared" si="5"/>
        <v>0</v>
      </c>
      <c r="G54" s="31">
        <f t="shared" si="11"/>
        <v>-107567.64075492746</v>
      </c>
      <c r="H54" s="32">
        <f t="shared" si="6"/>
        <v>-448.2</v>
      </c>
      <c r="I54" s="33">
        <f t="shared" si="7"/>
        <v>-108015.84075492746</v>
      </c>
      <c r="J54" s="26"/>
      <c r="K54" s="34">
        <f t="shared" si="8"/>
        <v>0</v>
      </c>
      <c r="L54" s="35">
        <f t="shared" si="9"/>
        <v>0</v>
      </c>
      <c r="M54" s="35">
        <f t="shared" si="15"/>
        <v>0</v>
      </c>
      <c r="N54" s="34">
        <f t="shared" si="12"/>
        <v>0</v>
      </c>
      <c r="O54" s="34">
        <f t="shared" si="1"/>
        <v>0</v>
      </c>
      <c r="P54" s="26"/>
      <c r="Q54" s="36">
        <f t="shared" si="2"/>
        <v>448.2</v>
      </c>
      <c r="R54" s="36">
        <f t="shared" si="3"/>
        <v>-448.2</v>
      </c>
      <c r="S54" s="35"/>
      <c r="T54" s="35">
        <f t="shared" si="13"/>
        <v>0</v>
      </c>
      <c r="U54" s="35">
        <f t="shared" si="14"/>
        <v>0</v>
      </c>
    </row>
    <row r="55" spans="1:21" x14ac:dyDescent="0.2">
      <c r="A55" s="20">
        <f t="shared" si="4"/>
        <v>44</v>
      </c>
      <c r="B55" s="21">
        <f t="shared" si="10"/>
        <v>44436</v>
      </c>
      <c r="C55" s="22">
        <v>0</v>
      </c>
      <c r="D55" s="30">
        <f t="shared" si="0"/>
        <v>0.83280775768486948</v>
      </c>
      <c r="E55" s="23">
        <f t="shared" si="5"/>
        <v>0</v>
      </c>
      <c r="G55" s="31">
        <f t="shared" si="11"/>
        <v>-108015.84075492746</v>
      </c>
      <c r="H55" s="32">
        <f t="shared" si="6"/>
        <v>-450.07</v>
      </c>
      <c r="I55" s="33">
        <f t="shared" si="7"/>
        <v>-108465.91075492746</v>
      </c>
      <c r="J55" s="26"/>
      <c r="K55" s="34">
        <f t="shared" si="8"/>
        <v>0</v>
      </c>
      <c r="L55" s="35">
        <f t="shared" si="9"/>
        <v>0</v>
      </c>
      <c r="M55" s="35">
        <f t="shared" si="15"/>
        <v>0</v>
      </c>
      <c r="N55" s="34">
        <f t="shared" si="12"/>
        <v>0</v>
      </c>
      <c r="O55" s="34">
        <f t="shared" si="1"/>
        <v>0</v>
      </c>
      <c r="P55" s="26"/>
      <c r="Q55" s="36">
        <f t="shared" si="2"/>
        <v>450.07</v>
      </c>
      <c r="R55" s="36">
        <f t="shared" si="3"/>
        <v>-450.07</v>
      </c>
      <c r="S55" s="35"/>
      <c r="T55" s="35">
        <f t="shared" si="13"/>
        <v>0</v>
      </c>
      <c r="U55" s="35">
        <f t="shared" si="14"/>
        <v>0</v>
      </c>
    </row>
    <row r="56" spans="1:21" x14ac:dyDescent="0.2">
      <c r="A56" s="20">
        <f t="shared" si="4"/>
        <v>45</v>
      </c>
      <c r="B56" s="21">
        <f t="shared" si="10"/>
        <v>44467</v>
      </c>
      <c r="C56" s="22">
        <v>0</v>
      </c>
      <c r="D56" s="30">
        <f t="shared" si="0"/>
        <v>0.82935212383555479</v>
      </c>
      <c r="E56" s="23">
        <f t="shared" si="5"/>
        <v>0</v>
      </c>
      <c r="G56" s="31">
        <f t="shared" si="11"/>
        <v>-108465.91075492746</v>
      </c>
      <c r="H56" s="32">
        <f t="shared" si="6"/>
        <v>-451.94</v>
      </c>
      <c r="I56" s="33">
        <f t="shared" si="7"/>
        <v>-108917.85075492747</v>
      </c>
      <c r="J56" s="26"/>
      <c r="K56" s="34">
        <f t="shared" si="8"/>
        <v>0</v>
      </c>
      <c r="L56" s="35">
        <f t="shared" si="9"/>
        <v>0</v>
      </c>
      <c r="M56" s="35">
        <f t="shared" si="15"/>
        <v>0</v>
      </c>
      <c r="N56" s="34">
        <f t="shared" si="12"/>
        <v>0</v>
      </c>
      <c r="O56" s="34">
        <f t="shared" si="1"/>
        <v>0</v>
      </c>
      <c r="P56" s="26"/>
      <c r="Q56" s="36">
        <f t="shared" si="2"/>
        <v>451.94</v>
      </c>
      <c r="R56" s="36">
        <f t="shared" si="3"/>
        <v>-451.94</v>
      </c>
      <c r="S56" s="35"/>
      <c r="T56" s="35">
        <f t="shared" si="13"/>
        <v>0</v>
      </c>
      <c r="U56" s="35">
        <f t="shared" si="14"/>
        <v>0</v>
      </c>
    </row>
    <row r="57" spans="1:21" x14ac:dyDescent="0.2">
      <c r="A57" s="20">
        <f t="shared" si="4"/>
        <v>46</v>
      </c>
      <c r="B57" s="21">
        <f t="shared" si="10"/>
        <v>44497</v>
      </c>
      <c r="C57" s="22">
        <v>0</v>
      </c>
      <c r="D57" s="30">
        <f t="shared" si="0"/>
        <v>0.82591082871590515</v>
      </c>
      <c r="E57" s="23">
        <f t="shared" si="5"/>
        <v>0</v>
      </c>
      <c r="G57" s="31">
        <f t="shared" si="11"/>
        <v>-108917.85075492747</v>
      </c>
      <c r="H57" s="32">
        <f t="shared" si="6"/>
        <v>-453.82</v>
      </c>
      <c r="I57" s="33">
        <f t="shared" si="7"/>
        <v>-109371.67075492747</v>
      </c>
      <c r="J57" s="26"/>
      <c r="K57" s="34">
        <f t="shared" si="8"/>
        <v>0</v>
      </c>
      <c r="L57" s="35">
        <f t="shared" si="9"/>
        <v>0</v>
      </c>
      <c r="M57" s="35">
        <f t="shared" si="15"/>
        <v>0</v>
      </c>
      <c r="N57" s="34">
        <f t="shared" si="12"/>
        <v>0</v>
      </c>
      <c r="O57" s="34">
        <f t="shared" si="1"/>
        <v>0</v>
      </c>
      <c r="P57" s="26"/>
      <c r="Q57" s="36">
        <f t="shared" si="2"/>
        <v>453.82</v>
      </c>
      <c r="R57" s="36">
        <f t="shared" si="3"/>
        <v>-453.82</v>
      </c>
      <c r="S57" s="35"/>
      <c r="T57" s="35">
        <f t="shared" si="13"/>
        <v>0</v>
      </c>
      <c r="U57" s="35">
        <f t="shared" si="14"/>
        <v>0</v>
      </c>
    </row>
    <row r="58" spans="1:21" x14ac:dyDescent="0.2">
      <c r="A58" s="20">
        <f t="shared" si="4"/>
        <v>47</v>
      </c>
      <c r="B58" s="21">
        <f t="shared" si="10"/>
        <v>44528</v>
      </c>
      <c r="C58" s="22">
        <v>0</v>
      </c>
      <c r="D58" s="30">
        <f t="shared" si="0"/>
        <v>0.82248381282911687</v>
      </c>
      <c r="E58" s="23">
        <f t="shared" si="5"/>
        <v>0</v>
      </c>
      <c r="G58" s="31">
        <f t="shared" si="11"/>
        <v>-109371.67075492747</v>
      </c>
      <c r="H58" s="32">
        <f t="shared" si="6"/>
        <v>-455.72</v>
      </c>
      <c r="I58" s="33">
        <f t="shared" si="7"/>
        <v>-109827.39075492747</v>
      </c>
      <c r="J58" s="26"/>
      <c r="K58" s="34">
        <f t="shared" si="8"/>
        <v>0</v>
      </c>
      <c r="L58" s="35">
        <f t="shared" si="9"/>
        <v>0</v>
      </c>
      <c r="M58" s="35">
        <f t="shared" si="15"/>
        <v>0</v>
      </c>
      <c r="N58" s="34">
        <f t="shared" si="12"/>
        <v>0</v>
      </c>
      <c r="O58" s="34">
        <f t="shared" si="1"/>
        <v>0</v>
      </c>
      <c r="P58" s="26"/>
      <c r="Q58" s="36">
        <f t="shared" si="2"/>
        <v>455.72</v>
      </c>
      <c r="R58" s="36">
        <f t="shared" si="3"/>
        <v>-455.72</v>
      </c>
      <c r="S58" s="35"/>
      <c r="T58" s="35">
        <f t="shared" si="13"/>
        <v>0</v>
      </c>
      <c r="U58" s="35">
        <f t="shared" si="14"/>
        <v>0</v>
      </c>
    </row>
    <row r="59" spans="1:21" x14ac:dyDescent="0.2">
      <c r="A59" s="20">
        <f t="shared" si="4"/>
        <v>48</v>
      </c>
      <c r="B59" s="21">
        <f t="shared" si="10"/>
        <v>44558</v>
      </c>
      <c r="C59" s="22">
        <v>0</v>
      </c>
      <c r="D59" s="30">
        <f t="shared" si="0"/>
        <v>0.81907101692526174</v>
      </c>
      <c r="E59" s="23">
        <f t="shared" si="5"/>
        <v>0</v>
      </c>
      <c r="G59" s="31">
        <f t="shared" si="11"/>
        <v>-109827.39075492747</v>
      </c>
      <c r="H59" s="32">
        <f t="shared" si="6"/>
        <v>-457.61</v>
      </c>
      <c r="I59" s="33">
        <f t="shared" si="7"/>
        <v>-110285.00075492747</v>
      </c>
      <c r="J59" s="26"/>
      <c r="K59" s="34">
        <f t="shared" si="8"/>
        <v>0</v>
      </c>
      <c r="L59" s="35">
        <f t="shared" si="9"/>
        <v>0</v>
      </c>
      <c r="M59" s="35">
        <f t="shared" si="15"/>
        <v>0</v>
      </c>
      <c r="N59" s="34">
        <f t="shared" si="12"/>
        <v>0</v>
      </c>
      <c r="O59" s="34">
        <f t="shared" si="1"/>
        <v>0</v>
      </c>
      <c r="P59" s="26"/>
      <c r="Q59" s="36">
        <f t="shared" si="2"/>
        <v>457.61</v>
      </c>
      <c r="R59" s="36">
        <f t="shared" si="3"/>
        <v>-457.61</v>
      </c>
      <c r="S59" s="35"/>
      <c r="T59" s="35">
        <f t="shared" si="13"/>
        <v>0</v>
      </c>
      <c r="U59" s="35">
        <f t="shared" si="14"/>
        <v>0</v>
      </c>
    </row>
    <row r="60" spans="1:21" x14ac:dyDescent="0.2">
      <c r="A60" s="20">
        <f t="shared" si="4"/>
        <v>49</v>
      </c>
      <c r="B60" s="21">
        <f t="shared" si="10"/>
        <v>44589</v>
      </c>
      <c r="C60" s="22">
        <v>0</v>
      </c>
      <c r="D60" s="30">
        <f t="shared" si="0"/>
        <v>0.81567238200026071</v>
      </c>
      <c r="E60" s="23">
        <f t="shared" si="5"/>
        <v>0</v>
      </c>
      <c r="G60" s="31">
        <f t="shared" si="11"/>
        <v>-110285.00075492747</v>
      </c>
      <c r="H60" s="32">
        <f t="shared" si="6"/>
        <v>-459.52</v>
      </c>
      <c r="I60" s="33">
        <f t="shared" si="7"/>
        <v>-110744.52075492748</v>
      </c>
      <c r="J60" s="26"/>
      <c r="K60" s="34">
        <f t="shared" si="8"/>
        <v>0</v>
      </c>
      <c r="L60" s="35">
        <f t="shared" si="9"/>
        <v>0</v>
      </c>
      <c r="M60" s="35">
        <f t="shared" si="15"/>
        <v>0</v>
      </c>
      <c r="N60" s="34">
        <f t="shared" si="12"/>
        <v>0</v>
      </c>
      <c r="O60" s="34">
        <f t="shared" si="1"/>
        <v>0</v>
      </c>
      <c r="P60" s="26"/>
      <c r="Q60" s="36">
        <f t="shared" si="2"/>
        <v>459.52</v>
      </c>
      <c r="R60" s="36">
        <f t="shared" si="3"/>
        <v>-459.52</v>
      </c>
      <c r="S60" s="35"/>
      <c r="T60" s="35">
        <f t="shared" si="13"/>
        <v>0</v>
      </c>
      <c r="U60" s="35">
        <f t="shared" si="14"/>
        <v>0</v>
      </c>
    </row>
    <row r="61" spans="1:21" x14ac:dyDescent="0.2">
      <c r="A61" s="20">
        <f t="shared" si="4"/>
        <v>50</v>
      </c>
      <c r="B61" s="21">
        <f t="shared" si="10"/>
        <v>44620</v>
      </c>
      <c r="C61" s="22">
        <v>0</v>
      </c>
      <c r="D61" s="30">
        <f t="shared" si="0"/>
        <v>0.81228784929486553</v>
      </c>
      <c r="E61" s="23">
        <f t="shared" si="5"/>
        <v>0</v>
      </c>
      <c r="G61" s="31">
        <f t="shared" si="11"/>
        <v>-110744.52075492748</v>
      </c>
      <c r="H61" s="32">
        <f t="shared" si="6"/>
        <v>-461.44</v>
      </c>
      <c r="I61" s="33">
        <f t="shared" si="7"/>
        <v>-111205.96075492748</v>
      </c>
      <c r="J61" s="26"/>
      <c r="K61" s="34">
        <f t="shared" si="8"/>
        <v>0</v>
      </c>
      <c r="L61" s="35">
        <f t="shared" si="9"/>
        <v>0</v>
      </c>
      <c r="M61" s="35">
        <f t="shared" si="15"/>
        <v>0</v>
      </c>
      <c r="N61" s="34">
        <f t="shared" si="12"/>
        <v>0</v>
      </c>
      <c r="O61" s="34">
        <f t="shared" si="1"/>
        <v>0</v>
      </c>
      <c r="P61" s="26"/>
      <c r="Q61" s="36">
        <f t="shared" si="2"/>
        <v>461.44</v>
      </c>
      <c r="R61" s="36">
        <f t="shared" si="3"/>
        <v>-461.44</v>
      </c>
      <c r="S61" s="35"/>
      <c r="T61" s="35">
        <f t="shared" si="13"/>
        <v>0</v>
      </c>
      <c r="U61" s="35">
        <f t="shared" si="14"/>
        <v>0</v>
      </c>
    </row>
    <row r="62" spans="1:21" x14ac:dyDescent="0.2">
      <c r="A62" s="20">
        <f t="shared" si="4"/>
        <v>51</v>
      </c>
      <c r="B62" s="21">
        <f t="shared" si="10"/>
        <v>44648</v>
      </c>
      <c r="C62" s="22">
        <v>0</v>
      </c>
      <c r="D62" s="30">
        <f t="shared" si="0"/>
        <v>0.80891736029364192</v>
      </c>
      <c r="E62" s="23">
        <f t="shared" si="5"/>
        <v>0</v>
      </c>
      <c r="G62" s="31">
        <f t="shared" si="11"/>
        <v>-111205.96075492748</v>
      </c>
      <c r="H62" s="32">
        <f t="shared" si="6"/>
        <v>-463.36</v>
      </c>
      <c r="I62" s="33">
        <f t="shared" si="7"/>
        <v>-111669.32075492748</v>
      </c>
      <c r="J62" s="26"/>
      <c r="K62" s="34">
        <f t="shared" si="8"/>
        <v>0</v>
      </c>
      <c r="L62" s="35">
        <f t="shared" si="9"/>
        <v>0</v>
      </c>
      <c r="M62" s="35">
        <f t="shared" si="15"/>
        <v>0</v>
      </c>
      <c r="N62" s="34">
        <f t="shared" si="12"/>
        <v>0</v>
      </c>
      <c r="O62" s="34">
        <f t="shared" si="1"/>
        <v>0</v>
      </c>
      <c r="P62" s="26"/>
      <c r="Q62" s="36">
        <f t="shared" si="2"/>
        <v>463.36</v>
      </c>
      <c r="R62" s="36">
        <f t="shared" si="3"/>
        <v>-463.36</v>
      </c>
      <c r="S62" s="35"/>
      <c r="T62" s="35">
        <f t="shared" si="13"/>
        <v>0</v>
      </c>
      <c r="U62" s="35">
        <f t="shared" si="14"/>
        <v>0</v>
      </c>
    </row>
    <row r="63" spans="1:21" x14ac:dyDescent="0.2">
      <c r="A63" s="20">
        <f t="shared" si="4"/>
        <v>52</v>
      </c>
      <c r="B63" s="21">
        <f t="shared" si="10"/>
        <v>44679</v>
      </c>
      <c r="C63" s="22">
        <v>0</v>
      </c>
      <c r="D63" s="30">
        <f t="shared" si="0"/>
        <v>0.80556085672395861</v>
      </c>
      <c r="E63" s="23">
        <f t="shared" si="5"/>
        <v>0</v>
      </c>
      <c r="G63" s="31">
        <f t="shared" si="11"/>
        <v>-111669.32075492748</v>
      </c>
      <c r="H63" s="32">
        <f t="shared" si="6"/>
        <v>-465.29</v>
      </c>
      <c r="I63" s="33">
        <f t="shared" si="7"/>
        <v>-112134.61075492747</v>
      </c>
      <c r="J63" s="26"/>
      <c r="K63" s="34">
        <f t="shared" si="8"/>
        <v>0</v>
      </c>
      <c r="L63" s="35">
        <f t="shared" si="9"/>
        <v>0</v>
      </c>
      <c r="M63" s="35">
        <f t="shared" si="15"/>
        <v>0</v>
      </c>
      <c r="N63" s="34">
        <f t="shared" si="12"/>
        <v>0</v>
      </c>
      <c r="O63" s="34">
        <f t="shared" si="1"/>
        <v>0</v>
      </c>
      <c r="P63" s="26"/>
      <c r="Q63" s="36">
        <f t="shared" si="2"/>
        <v>465.29</v>
      </c>
      <c r="R63" s="36">
        <f t="shared" si="3"/>
        <v>-465.29</v>
      </c>
      <c r="S63" s="35"/>
      <c r="T63" s="35">
        <f t="shared" si="13"/>
        <v>0</v>
      </c>
      <c r="U63" s="35">
        <f t="shared" si="14"/>
        <v>0</v>
      </c>
    </row>
    <row r="64" spans="1:21" x14ac:dyDescent="0.2">
      <c r="A64" s="20">
        <f t="shared" si="4"/>
        <v>53</v>
      </c>
      <c r="B64" s="21">
        <f t="shared" si="10"/>
        <v>44709</v>
      </c>
      <c r="C64" s="22">
        <v>0</v>
      </c>
      <c r="D64" s="30">
        <f t="shared" si="0"/>
        <v>0.80221828055497957</v>
      </c>
      <c r="E64" s="23">
        <f t="shared" si="5"/>
        <v>0</v>
      </c>
      <c r="G64" s="31">
        <f t="shared" si="11"/>
        <v>-112134.61075492747</v>
      </c>
      <c r="H64" s="32">
        <f t="shared" si="6"/>
        <v>-467.23</v>
      </c>
      <c r="I64" s="33">
        <f t="shared" si="7"/>
        <v>-112601.84075492747</v>
      </c>
      <c r="J64" s="26"/>
      <c r="K64" s="34">
        <f t="shared" si="8"/>
        <v>0</v>
      </c>
      <c r="L64" s="35">
        <f t="shared" si="9"/>
        <v>0</v>
      </c>
      <c r="M64" s="35">
        <f t="shared" si="15"/>
        <v>0</v>
      </c>
      <c r="N64" s="34">
        <f t="shared" si="12"/>
        <v>0</v>
      </c>
      <c r="O64" s="34">
        <f t="shared" si="1"/>
        <v>0</v>
      </c>
      <c r="P64" s="26"/>
      <c r="Q64" s="36">
        <f t="shared" si="2"/>
        <v>467.23</v>
      </c>
      <c r="R64" s="36">
        <f t="shared" si="3"/>
        <v>-467.23</v>
      </c>
      <c r="S64" s="35"/>
      <c r="T64" s="35">
        <f t="shared" si="13"/>
        <v>0</v>
      </c>
      <c r="U64" s="35">
        <f t="shared" si="14"/>
        <v>0</v>
      </c>
    </row>
    <row r="65" spans="1:21" x14ac:dyDescent="0.2">
      <c r="A65" s="20">
        <f t="shared" si="4"/>
        <v>54</v>
      </c>
      <c r="B65" s="21">
        <f t="shared" si="10"/>
        <v>44740</v>
      </c>
      <c r="C65" s="22">
        <v>0</v>
      </c>
      <c r="D65" s="30">
        <f>(1+D$7)^-A65</f>
        <v>0.79888957399666016</v>
      </c>
      <c r="E65" s="23">
        <f t="shared" si="5"/>
        <v>0</v>
      </c>
      <c r="G65" s="31">
        <f t="shared" si="11"/>
        <v>-112601.84075492747</v>
      </c>
      <c r="H65" s="32">
        <f t="shared" si="6"/>
        <v>-469.17</v>
      </c>
      <c r="I65" s="33">
        <f t="shared" si="7"/>
        <v>-113071.01075492747</v>
      </c>
      <c r="J65" s="26"/>
      <c r="K65" s="34">
        <f t="shared" si="8"/>
        <v>0</v>
      </c>
      <c r="L65" s="35">
        <f t="shared" si="9"/>
        <v>0</v>
      </c>
      <c r="M65" s="35">
        <f t="shared" si="15"/>
        <v>0</v>
      </c>
      <c r="N65" s="34">
        <f t="shared" si="12"/>
        <v>0</v>
      </c>
      <c r="O65" s="34">
        <f t="shared" si="1"/>
        <v>0</v>
      </c>
      <c r="P65" s="26"/>
      <c r="Q65" s="36">
        <f t="shared" si="2"/>
        <v>469.17</v>
      </c>
      <c r="R65" s="36">
        <f t="shared" si="3"/>
        <v>-469.17</v>
      </c>
      <c r="S65" s="35"/>
      <c r="T65" s="35">
        <f t="shared" si="13"/>
        <v>0</v>
      </c>
      <c r="U65" s="35">
        <f t="shared" si="14"/>
        <v>0</v>
      </c>
    </row>
    <row r="66" spans="1:21" x14ac:dyDescent="0.2">
      <c r="A66" s="20">
        <f t="shared" si="4"/>
        <v>55</v>
      </c>
      <c r="B66" s="21">
        <f t="shared" si="10"/>
        <v>44770</v>
      </c>
      <c r="C66" s="22">
        <v>0</v>
      </c>
      <c r="D66" s="30">
        <f t="shared" si="0"/>
        <v>0.79557467949874849</v>
      </c>
      <c r="E66" s="23">
        <f t="shared" si="5"/>
        <v>0</v>
      </c>
      <c r="G66" s="31">
        <f t="shared" si="11"/>
        <v>-113071.01075492747</v>
      </c>
      <c r="H66" s="32">
        <f t="shared" si="6"/>
        <v>-471.13</v>
      </c>
      <c r="I66" s="33">
        <f t="shared" si="7"/>
        <v>-113542.14075492747</v>
      </c>
      <c r="J66" s="26"/>
      <c r="K66" s="34">
        <f t="shared" si="8"/>
        <v>0</v>
      </c>
      <c r="L66" s="35">
        <f t="shared" si="9"/>
        <v>0</v>
      </c>
      <c r="M66" s="35">
        <f t="shared" si="15"/>
        <v>0</v>
      </c>
      <c r="N66" s="34">
        <f t="shared" si="12"/>
        <v>0</v>
      </c>
      <c r="O66" s="34">
        <f t="shared" si="1"/>
        <v>0</v>
      </c>
      <c r="P66" s="26"/>
      <c r="Q66" s="36">
        <f t="shared" si="2"/>
        <v>471.13</v>
      </c>
      <c r="R66" s="36">
        <f t="shared" si="3"/>
        <v>-471.13</v>
      </c>
      <c r="S66" s="35"/>
      <c r="T66" s="35">
        <f t="shared" si="13"/>
        <v>0</v>
      </c>
      <c r="U66" s="35">
        <f t="shared" si="14"/>
        <v>0</v>
      </c>
    </row>
    <row r="67" spans="1:21" x14ac:dyDescent="0.2">
      <c r="A67" s="20">
        <f t="shared" si="4"/>
        <v>56</v>
      </c>
      <c r="B67" s="21">
        <f t="shared" si="10"/>
        <v>44801</v>
      </c>
      <c r="C67" s="22">
        <v>0</v>
      </c>
      <c r="D67" s="30">
        <f t="shared" si="0"/>
        <v>0.7922735397497912</v>
      </c>
      <c r="E67" s="23">
        <f t="shared" si="5"/>
        <v>0</v>
      </c>
      <c r="G67" s="31">
        <f t="shared" si="11"/>
        <v>-113542.14075492747</v>
      </c>
      <c r="H67" s="32">
        <f t="shared" si="6"/>
        <v>-473.09</v>
      </c>
      <c r="I67" s="33">
        <f t="shared" si="7"/>
        <v>-114015.23075492747</v>
      </c>
      <c r="J67" s="26"/>
      <c r="K67" s="34">
        <f t="shared" si="8"/>
        <v>0</v>
      </c>
      <c r="L67" s="35">
        <f t="shared" si="9"/>
        <v>0</v>
      </c>
      <c r="M67" s="35">
        <f t="shared" si="15"/>
        <v>0</v>
      </c>
      <c r="N67" s="34">
        <f t="shared" si="12"/>
        <v>0</v>
      </c>
      <c r="O67" s="34">
        <f t="shared" si="1"/>
        <v>0</v>
      </c>
      <c r="P67" s="26"/>
      <c r="Q67" s="36">
        <f t="shared" si="2"/>
        <v>473.09</v>
      </c>
      <c r="R67" s="36">
        <f t="shared" si="3"/>
        <v>-473.09</v>
      </c>
      <c r="S67" s="35"/>
      <c r="T67" s="35">
        <f t="shared" si="13"/>
        <v>0</v>
      </c>
      <c r="U67" s="35">
        <f t="shared" si="14"/>
        <v>0</v>
      </c>
    </row>
    <row r="68" spans="1:21" x14ac:dyDescent="0.2">
      <c r="A68" s="20">
        <f t="shared" si="4"/>
        <v>57</v>
      </c>
      <c r="B68" s="21">
        <f t="shared" si="10"/>
        <v>44832</v>
      </c>
      <c r="C68" s="22">
        <v>0</v>
      </c>
      <c r="D68" s="30">
        <f t="shared" si="0"/>
        <v>0.78898609767614081</v>
      </c>
      <c r="E68" s="23">
        <f t="shared" si="5"/>
        <v>0</v>
      </c>
      <c r="G68" s="31">
        <f t="shared" si="11"/>
        <v>-114015.23075492747</v>
      </c>
      <c r="H68" s="32">
        <f t="shared" si="6"/>
        <v>-475.06</v>
      </c>
      <c r="I68" s="33">
        <f t="shared" si="7"/>
        <v>-114490.29075492747</v>
      </c>
      <c r="J68" s="26"/>
      <c r="K68" s="34">
        <f t="shared" si="8"/>
        <v>0</v>
      </c>
      <c r="L68" s="35">
        <f t="shared" si="9"/>
        <v>0</v>
      </c>
      <c r="M68" s="35">
        <f t="shared" si="15"/>
        <v>0</v>
      </c>
      <c r="N68" s="34">
        <f t="shared" si="12"/>
        <v>0</v>
      </c>
      <c r="O68" s="34">
        <f t="shared" si="1"/>
        <v>0</v>
      </c>
      <c r="P68" s="26"/>
      <c r="Q68" s="36">
        <f t="shared" si="2"/>
        <v>475.06</v>
      </c>
      <c r="R68" s="36">
        <f t="shared" si="3"/>
        <v>-475.06</v>
      </c>
      <c r="S68" s="35"/>
      <c r="T68" s="35">
        <f t="shared" si="13"/>
        <v>0</v>
      </c>
      <c r="U68" s="35">
        <f t="shared" si="14"/>
        <v>0</v>
      </c>
    </row>
    <row r="69" spans="1:21" x14ac:dyDescent="0.2">
      <c r="A69" s="20">
        <f t="shared" si="4"/>
        <v>58</v>
      </c>
      <c r="B69" s="21">
        <f t="shared" si="10"/>
        <v>44862</v>
      </c>
      <c r="C69" s="22">
        <v>0</v>
      </c>
      <c r="D69" s="30">
        <f t="shared" si="0"/>
        <v>0.78571229644096985</v>
      </c>
      <c r="E69" s="23">
        <f t="shared" si="5"/>
        <v>0</v>
      </c>
      <c r="G69" s="31">
        <f t="shared" si="11"/>
        <v>-114490.29075492747</v>
      </c>
      <c r="H69" s="32">
        <f t="shared" si="6"/>
        <v>-477.04</v>
      </c>
      <c r="I69" s="33">
        <f t="shared" si="7"/>
        <v>-114967.33075492746</v>
      </c>
      <c r="J69" s="26"/>
      <c r="K69" s="34">
        <f t="shared" si="8"/>
        <v>0</v>
      </c>
      <c r="L69" s="35">
        <f t="shared" si="9"/>
        <v>0</v>
      </c>
      <c r="M69" s="35">
        <f t="shared" si="15"/>
        <v>0</v>
      </c>
      <c r="N69" s="34">
        <f t="shared" si="12"/>
        <v>0</v>
      </c>
      <c r="O69" s="34">
        <f t="shared" si="1"/>
        <v>0</v>
      </c>
      <c r="P69" s="26"/>
      <c r="Q69" s="36">
        <f t="shared" si="2"/>
        <v>477.04</v>
      </c>
      <c r="R69" s="36">
        <f t="shared" si="3"/>
        <v>-477.04</v>
      </c>
      <c r="S69" s="35"/>
      <c r="T69" s="35">
        <f t="shared" si="13"/>
        <v>0</v>
      </c>
      <c r="U69" s="35">
        <f t="shared" si="14"/>
        <v>0</v>
      </c>
    </row>
    <row r="70" spans="1:21" x14ac:dyDescent="0.2">
      <c r="A70" s="20">
        <f t="shared" si="4"/>
        <v>59</v>
      </c>
      <c r="B70" s="21">
        <f t="shared" si="10"/>
        <v>44893</v>
      </c>
      <c r="C70" s="22">
        <v>0</v>
      </c>
      <c r="D70" s="30">
        <f t="shared" si="0"/>
        <v>0.78245207944328965</v>
      </c>
      <c r="E70" s="23">
        <f t="shared" si="5"/>
        <v>0</v>
      </c>
      <c r="G70" s="31">
        <f t="shared" si="11"/>
        <v>-114967.33075492746</v>
      </c>
      <c r="H70" s="32">
        <f t="shared" si="6"/>
        <v>-479.03</v>
      </c>
      <c r="I70" s="33">
        <f t="shared" si="7"/>
        <v>-115446.36075492746</v>
      </c>
      <c r="J70" s="26"/>
      <c r="K70" s="34">
        <f t="shared" si="8"/>
        <v>0</v>
      </c>
      <c r="L70" s="35">
        <f t="shared" si="9"/>
        <v>0</v>
      </c>
      <c r="M70" s="35">
        <f t="shared" si="15"/>
        <v>0</v>
      </c>
      <c r="N70" s="34">
        <f t="shared" si="12"/>
        <v>0</v>
      </c>
      <c r="O70" s="34">
        <f t="shared" si="1"/>
        <v>0</v>
      </c>
      <c r="P70" s="26"/>
      <c r="Q70" s="36">
        <f t="shared" si="2"/>
        <v>479.03</v>
      </c>
      <c r="R70" s="36">
        <f t="shared" si="3"/>
        <v>-479.03</v>
      </c>
      <c r="S70" s="35"/>
      <c r="T70" s="35">
        <f t="shared" si="13"/>
        <v>0</v>
      </c>
      <c r="U70" s="35">
        <f t="shared" si="14"/>
        <v>0</v>
      </c>
    </row>
    <row r="71" spans="1:21" ht="13.5" thickBot="1" x14ac:dyDescent="0.25">
      <c r="A71" s="37">
        <f t="shared" si="4"/>
        <v>60</v>
      </c>
      <c r="B71" s="38">
        <f t="shared" si="10"/>
        <v>44923</v>
      </c>
      <c r="C71" s="39">
        <f>-IF('2-Renewal Terms'!G15="NO",0,IF('2-Renewal Terms'!H15="INCREASE",'2-Renewal Terms'!C12,0))</f>
        <v>-115927.40742999998</v>
      </c>
      <c r="D71" s="40">
        <f>(1+D$7)^-A71</f>
        <v>0.77920539031696889</v>
      </c>
      <c r="E71" s="39">
        <f>C71*D71</f>
        <v>-90331.260754927411</v>
      </c>
      <c r="F71" s="79"/>
      <c r="G71" s="41">
        <f t="shared" si="11"/>
        <v>-115446.36075492746</v>
      </c>
      <c r="H71" s="78">
        <f t="shared" si="6"/>
        <v>-481.03</v>
      </c>
      <c r="I71" s="42">
        <f t="shared" si="7"/>
        <v>-115927.39075492746</v>
      </c>
      <c r="J71" s="43"/>
      <c r="K71" s="44">
        <f t="shared" si="8"/>
        <v>0</v>
      </c>
      <c r="L71" s="45">
        <f t="shared" si="9"/>
        <v>0</v>
      </c>
      <c r="M71" s="45">
        <f t="shared" si="15"/>
        <v>0</v>
      </c>
      <c r="N71" s="44">
        <f t="shared" si="12"/>
        <v>0</v>
      </c>
      <c r="O71" s="44">
        <f t="shared" si="1"/>
        <v>0</v>
      </c>
      <c r="P71" s="43"/>
      <c r="Q71" s="46">
        <f t="shared" si="2"/>
        <v>481.03</v>
      </c>
      <c r="R71" s="46">
        <f t="shared" si="3"/>
        <v>-481.03</v>
      </c>
      <c r="S71" s="45"/>
      <c r="T71" s="45">
        <f t="shared" si="13"/>
        <v>0</v>
      </c>
      <c r="U71" s="45">
        <f t="shared" si="14"/>
        <v>0</v>
      </c>
    </row>
    <row r="72" spans="1:21" x14ac:dyDescent="0.2">
      <c r="A72" s="20"/>
      <c r="B72" s="21"/>
      <c r="C72" s="22"/>
      <c r="D72" s="30"/>
      <c r="E72" s="28"/>
      <c r="G72" s="24"/>
      <c r="H72" s="55" t="s">
        <v>92</v>
      </c>
      <c r="I72" s="113">
        <f>IF('2-Renewal Terms'!H15="INCREASE",-'2-Renewal Terms'!C12,0)</f>
        <v>-115927.40742999998</v>
      </c>
      <c r="J72" s="27"/>
      <c r="K72" s="47"/>
      <c r="L72" s="27"/>
      <c r="M72" s="48"/>
      <c r="N72" s="25"/>
      <c r="O72" s="25"/>
      <c r="P72" s="26"/>
      <c r="Q72" s="27"/>
      <c r="R72" s="27"/>
      <c r="S72" s="26"/>
      <c r="T72" s="26"/>
      <c r="U72" s="26"/>
    </row>
    <row r="73" spans="1:21" x14ac:dyDescent="0.2">
      <c r="A73" s="20"/>
      <c r="B73" s="21"/>
      <c r="D73" s="30"/>
      <c r="E73" s="49"/>
      <c r="G73" s="24"/>
      <c r="H73" s="55" t="s">
        <v>82</v>
      </c>
      <c r="I73" s="113">
        <f>I71-I72</f>
        <v>1.6675072518410161E-2</v>
      </c>
      <c r="J73" s="26"/>
      <c r="K73" s="25"/>
      <c r="L73" s="26"/>
      <c r="N73" s="25"/>
      <c r="O73" s="25"/>
      <c r="P73" s="26"/>
      <c r="Q73" s="35">
        <f>SUM(Q11:Q72)</f>
        <v>25596.13</v>
      </c>
      <c r="R73" s="27"/>
      <c r="S73" s="26"/>
      <c r="T73" s="35">
        <f>SUM(T11:T72)</f>
        <v>0</v>
      </c>
      <c r="U73" s="26"/>
    </row>
    <row r="74" spans="1:21" x14ac:dyDescent="0.2">
      <c r="A74" s="4"/>
      <c r="B74" s="13" t="s">
        <v>25</v>
      </c>
      <c r="C74" s="51">
        <f>C7</f>
        <v>4.1666666666666666E-3</v>
      </c>
      <c r="D74" s="50"/>
    </row>
    <row r="75" spans="1:21" x14ac:dyDescent="0.2">
      <c r="A75" s="4"/>
      <c r="B75" s="13"/>
      <c r="C75" s="52"/>
    </row>
    <row r="76" spans="1:21" x14ac:dyDescent="0.2">
      <c r="A76" s="4"/>
      <c r="B76" s="53" t="s">
        <v>26</v>
      </c>
      <c r="C76" s="54">
        <f>NPV($C$74,$C12:$C$71)</f>
        <v>-90331.260754927556</v>
      </c>
      <c r="D76" s="26"/>
      <c r="E76" s="54">
        <f>E71</f>
        <v>-90331.260754927411</v>
      </c>
    </row>
    <row r="77" spans="1:21" x14ac:dyDescent="0.2">
      <c r="A77" s="4"/>
      <c r="B77" s="4"/>
      <c r="C77" s="4"/>
      <c r="D77" s="1"/>
      <c r="E77" s="116">
        <f>C76-E76</f>
        <v>-1.4551915228366852E-10</v>
      </c>
      <c r="F77" s="117" t="s">
        <v>89</v>
      </c>
    </row>
    <row r="78" spans="1:21" x14ac:dyDescent="0.2">
      <c r="A78" s="4"/>
      <c r="B78" s="4"/>
      <c r="C78" s="4"/>
      <c r="E78" s="55"/>
    </row>
    <row r="79" spans="1:21" x14ac:dyDescent="0.2">
      <c r="A79" s="4"/>
      <c r="B79" s="4"/>
      <c r="C79" s="4"/>
      <c r="E79" s="56"/>
    </row>
    <row r="80" spans="1:21" x14ac:dyDescent="0.2">
      <c r="A80" s="4"/>
      <c r="B80" s="4"/>
      <c r="C80" s="85"/>
      <c r="D80" s="86"/>
      <c r="E80" s="87"/>
      <c r="H80" s="36"/>
    </row>
    <row r="81" spans="1:9" x14ac:dyDescent="0.2">
      <c r="A81" s="4"/>
      <c r="B81" s="4"/>
      <c r="C81" s="88"/>
      <c r="D81" s="89"/>
      <c r="E81" s="89"/>
      <c r="G81" s="60"/>
      <c r="H81" s="57"/>
    </row>
    <row r="82" spans="1:9" x14ac:dyDescent="0.2">
      <c r="A82" s="4"/>
      <c r="B82" s="4"/>
      <c r="C82" s="85"/>
      <c r="D82" s="90"/>
      <c r="E82" s="90"/>
      <c r="G82" s="61"/>
      <c r="H82" s="36"/>
      <c r="I82" s="58"/>
    </row>
    <row r="83" spans="1:9" x14ac:dyDescent="0.2">
      <c r="A83" s="4"/>
      <c r="B83" s="4"/>
      <c r="C83" s="68"/>
      <c r="D83" s="69"/>
      <c r="E83" s="90"/>
      <c r="G83" s="61"/>
    </row>
    <row r="84" spans="1:9" x14ac:dyDescent="0.2">
      <c r="A84" s="4"/>
      <c r="B84" s="4"/>
      <c r="C84" s="68"/>
      <c r="D84" s="69"/>
      <c r="E84" s="91"/>
      <c r="G84" s="62"/>
    </row>
    <row r="85" spans="1:9" x14ac:dyDescent="0.2">
      <c r="A85" s="4"/>
      <c r="B85" s="4"/>
      <c r="C85" s="68"/>
      <c r="D85" s="69"/>
      <c r="E85" s="69"/>
    </row>
    <row r="86" spans="1:9" x14ac:dyDescent="0.2">
      <c r="C86" s="4"/>
    </row>
    <row r="87" spans="1:9" x14ac:dyDescent="0.2">
      <c r="C87" s="4"/>
    </row>
    <row r="88" spans="1:9" x14ac:dyDescent="0.2">
      <c r="C88" s="4"/>
    </row>
    <row r="89" spans="1:9" x14ac:dyDescent="0.2">
      <c r="C89" s="4"/>
    </row>
    <row r="90" spans="1:9" x14ac:dyDescent="0.2">
      <c r="C90" s="4"/>
    </row>
    <row r="91" spans="1:9" x14ac:dyDescent="0.2">
      <c r="C91" s="4"/>
    </row>
    <row r="92" spans="1:9" x14ac:dyDescent="0.2">
      <c r="C92" s="4"/>
    </row>
    <row r="93" spans="1:9" x14ac:dyDescent="0.2">
      <c r="C93" s="4"/>
    </row>
    <row r="94" spans="1:9" x14ac:dyDescent="0.2">
      <c r="C94" s="4"/>
    </row>
    <row r="95" spans="1:9" x14ac:dyDescent="0.2">
      <c r="C95" s="4"/>
    </row>
    <row r="96" spans="1:9" x14ac:dyDescent="0.2">
      <c r="C96" s="4"/>
    </row>
    <row r="97" spans="3:3" x14ac:dyDescent="0.2">
      <c r="C97" s="4"/>
    </row>
    <row r="98" spans="3:3" x14ac:dyDescent="0.2">
      <c r="C98" s="4"/>
    </row>
    <row r="99" spans="3:3" x14ac:dyDescent="0.2">
      <c r="C99" s="4"/>
    </row>
    <row r="100" spans="3:3" x14ac:dyDescent="0.2">
      <c r="C100" s="4"/>
    </row>
    <row r="101" spans="3:3" x14ac:dyDescent="0.2">
      <c r="C101" s="4"/>
    </row>
    <row r="102" spans="3:3" x14ac:dyDescent="0.2">
      <c r="C102" s="4"/>
    </row>
    <row r="103" spans="3:3" x14ac:dyDescent="0.2">
      <c r="C103" s="4"/>
    </row>
    <row r="104" spans="3:3" x14ac:dyDescent="0.2">
      <c r="C104" s="4"/>
    </row>
    <row r="105" spans="3:3" x14ac:dyDescent="0.2">
      <c r="C105" s="4"/>
    </row>
    <row r="106" spans="3:3" x14ac:dyDescent="0.2">
      <c r="C106" s="4"/>
    </row>
    <row r="107" spans="3:3" x14ac:dyDescent="0.2">
      <c r="C107" s="4"/>
    </row>
    <row r="108" spans="3:3" x14ac:dyDescent="0.2">
      <c r="C108" s="4"/>
    </row>
    <row r="109" spans="3:3" x14ac:dyDescent="0.2">
      <c r="C109" s="4"/>
    </row>
    <row r="110" spans="3:3" x14ac:dyDescent="0.2">
      <c r="C110" s="4"/>
    </row>
    <row r="111" spans="3:3" x14ac:dyDescent="0.2">
      <c r="C111" s="4"/>
    </row>
    <row r="112" spans="3:3" x14ac:dyDescent="0.2">
      <c r="C112" s="4"/>
    </row>
    <row r="113" spans="3:3" x14ac:dyDescent="0.2">
      <c r="C113" s="4"/>
    </row>
    <row r="114" spans="3:3" x14ac:dyDescent="0.2">
      <c r="C114" s="4"/>
    </row>
    <row r="115" spans="3:3" x14ac:dyDescent="0.2">
      <c r="C115" s="4"/>
    </row>
    <row r="116" spans="3:3" x14ac:dyDescent="0.2">
      <c r="C116" s="4"/>
    </row>
    <row r="117" spans="3:3" x14ac:dyDescent="0.2">
      <c r="C117" s="4"/>
    </row>
    <row r="118" spans="3:3" x14ac:dyDescent="0.2">
      <c r="C118" s="4"/>
    </row>
    <row r="119" spans="3:3" x14ac:dyDescent="0.2">
      <c r="C119" s="4"/>
    </row>
    <row r="120" spans="3:3" x14ac:dyDescent="0.2">
      <c r="C120" s="4"/>
    </row>
    <row r="121" spans="3:3" x14ac:dyDescent="0.2">
      <c r="C121" s="4"/>
    </row>
    <row r="122" spans="3:3" x14ac:dyDescent="0.2">
      <c r="C122" s="4"/>
    </row>
    <row r="123" spans="3:3" x14ac:dyDescent="0.2">
      <c r="C123" s="4"/>
    </row>
    <row r="124" spans="3:3" x14ac:dyDescent="0.2">
      <c r="C124" s="4"/>
    </row>
    <row r="125" spans="3:3" x14ac:dyDescent="0.2">
      <c r="C125" s="4"/>
    </row>
    <row r="126" spans="3:3" x14ac:dyDescent="0.2">
      <c r="C126" s="4"/>
    </row>
    <row r="127" spans="3:3" x14ac:dyDescent="0.2">
      <c r="C127" s="4"/>
    </row>
    <row r="128" spans="3:3" x14ac:dyDescent="0.2">
      <c r="C128" s="4"/>
    </row>
    <row r="129" spans="3:3" x14ac:dyDescent="0.2">
      <c r="C129" s="4"/>
    </row>
    <row r="130" spans="3:3" x14ac:dyDescent="0.2">
      <c r="C130" s="4"/>
    </row>
    <row r="131" spans="3:3" x14ac:dyDescent="0.2">
      <c r="C131" s="4"/>
    </row>
    <row r="132" spans="3:3" x14ac:dyDescent="0.2">
      <c r="C132" s="4"/>
    </row>
    <row r="133" spans="3:3" x14ac:dyDescent="0.2">
      <c r="C133" s="4"/>
    </row>
    <row r="134" spans="3:3" x14ac:dyDescent="0.2">
      <c r="C134" s="4"/>
    </row>
    <row r="135" spans="3:3" x14ac:dyDescent="0.2">
      <c r="C135" s="4"/>
    </row>
    <row r="136" spans="3:3" x14ac:dyDescent="0.2">
      <c r="C136" s="4"/>
    </row>
    <row r="137" spans="3:3" x14ac:dyDescent="0.2">
      <c r="C137" s="4"/>
    </row>
    <row r="138" spans="3:3" x14ac:dyDescent="0.2">
      <c r="C138" s="4"/>
    </row>
    <row r="139" spans="3:3" x14ac:dyDescent="0.2">
      <c r="C139" s="4"/>
    </row>
    <row r="140" spans="3:3" x14ac:dyDescent="0.2">
      <c r="C140" s="4"/>
    </row>
    <row r="141" spans="3:3" x14ac:dyDescent="0.2">
      <c r="C141" s="4"/>
    </row>
    <row r="142" spans="3:3" x14ac:dyDescent="0.2">
      <c r="C142" s="4"/>
    </row>
    <row r="143" spans="3:3" x14ac:dyDescent="0.2">
      <c r="C143" s="4"/>
    </row>
    <row r="144" spans="3:3" x14ac:dyDescent="0.2">
      <c r="C144" s="4"/>
    </row>
    <row r="145" spans="3:3" x14ac:dyDescent="0.2">
      <c r="C145" s="4"/>
    </row>
    <row r="146" spans="3:3" x14ac:dyDescent="0.2">
      <c r="C146" s="4"/>
    </row>
    <row r="147" spans="3:3" x14ac:dyDescent="0.2">
      <c r="C147" s="4"/>
    </row>
    <row r="148" spans="3:3" x14ac:dyDescent="0.2">
      <c r="C148" s="4"/>
    </row>
    <row r="149" spans="3:3" x14ac:dyDescent="0.2">
      <c r="C149" s="4"/>
    </row>
    <row r="150" spans="3:3" x14ac:dyDescent="0.2">
      <c r="C150" s="4"/>
    </row>
    <row r="151" spans="3:3" x14ac:dyDescent="0.2">
      <c r="C151" s="4"/>
    </row>
    <row r="152" spans="3:3" x14ac:dyDescent="0.2">
      <c r="C152" s="4"/>
    </row>
    <row r="153" spans="3:3" x14ac:dyDescent="0.2">
      <c r="C153" s="4"/>
    </row>
    <row r="154" spans="3:3" x14ac:dyDescent="0.2">
      <c r="C154" s="4"/>
    </row>
    <row r="155" spans="3:3" x14ac:dyDescent="0.2">
      <c r="C155" s="4"/>
    </row>
    <row r="156" spans="3:3" x14ac:dyDescent="0.2">
      <c r="C156" s="4"/>
    </row>
    <row r="157" spans="3:3" x14ac:dyDescent="0.2">
      <c r="C157" s="4"/>
    </row>
    <row r="158" spans="3:3" x14ac:dyDescent="0.2">
      <c r="C158" s="4"/>
    </row>
    <row r="159" spans="3:3" x14ac:dyDescent="0.2">
      <c r="C159" s="4"/>
    </row>
    <row r="160" spans="3:3" x14ac:dyDescent="0.2">
      <c r="C160" s="4"/>
    </row>
    <row r="161" spans="3:3" x14ac:dyDescent="0.2">
      <c r="C161" s="4"/>
    </row>
    <row r="162" spans="3:3" x14ac:dyDescent="0.2">
      <c r="C162" s="4"/>
    </row>
    <row r="163" spans="3:3" x14ac:dyDescent="0.2">
      <c r="C163" s="4"/>
    </row>
    <row r="164" spans="3:3" x14ac:dyDescent="0.2">
      <c r="C164" s="4"/>
    </row>
    <row r="165" spans="3:3" x14ac:dyDescent="0.2">
      <c r="C165" s="4"/>
    </row>
    <row r="166" spans="3:3" x14ac:dyDescent="0.2">
      <c r="C166" s="4"/>
    </row>
    <row r="167" spans="3:3" x14ac:dyDescent="0.2">
      <c r="C167" s="4"/>
    </row>
    <row r="168" spans="3:3" x14ac:dyDescent="0.2">
      <c r="C168" s="4"/>
    </row>
    <row r="169" spans="3:3" x14ac:dyDescent="0.2">
      <c r="C169" s="4"/>
    </row>
    <row r="170" spans="3:3" x14ac:dyDescent="0.2">
      <c r="C170" s="4"/>
    </row>
    <row r="171" spans="3:3" x14ac:dyDescent="0.2">
      <c r="C171" s="4"/>
    </row>
    <row r="172" spans="3:3" x14ac:dyDescent="0.2">
      <c r="C172" s="4"/>
    </row>
    <row r="173" spans="3:3" x14ac:dyDescent="0.2">
      <c r="C173" s="4"/>
    </row>
    <row r="174" spans="3:3" x14ac:dyDescent="0.2">
      <c r="C174" s="4"/>
    </row>
    <row r="175" spans="3:3" x14ac:dyDescent="0.2">
      <c r="C175" s="4"/>
    </row>
    <row r="176" spans="3:3" x14ac:dyDescent="0.2">
      <c r="C176" s="4"/>
    </row>
    <row r="177" spans="3:3" x14ac:dyDescent="0.2">
      <c r="C177" s="4"/>
    </row>
    <row r="178" spans="3:3" x14ac:dyDescent="0.2">
      <c r="C178" s="4"/>
    </row>
    <row r="179" spans="3:3" x14ac:dyDescent="0.2">
      <c r="C179" s="4"/>
    </row>
    <row r="180" spans="3:3" x14ac:dyDescent="0.2">
      <c r="C180" s="4"/>
    </row>
    <row r="181" spans="3:3" x14ac:dyDescent="0.2">
      <c r="C181" s="4"/>
    </row>
    <row r="182" spans="3:3" x14ac:dyDescent="0.2">
      <c r="C182" s="4"/>
    </row>
    <row r="183" spans="3:3" x14ac:dyDescent="0.2">
      <c r="C183" s="4"/>
    </row>
    <row r="184" spans="3:3" x14ac:dyDescent="0.2">
      <c r="C184" s="4"/>
    </row>
    <row r="185" spans="3:3" x14ac:dyDescent="0.2">
      <c r="C185" s="4"/>
    </row>
    <row r="186" spans="3:3" x14ac:dyDescent="0.2">
      <c r="C186" s="4"/>
    </row>
    <row r="187" spans="3:3" x14ac:dyDescent="0.2">
      <c r="C187" s="4"/>
    </row>
    <row r="188" spans="3:3" x14ac:dyDescent="0.2">
      <c r="C188" s="4"/>
    </row>
    <row r="189" spans="3:3" x14ac:dyDescent="0.2">
      <c r="C189" s="4"/>
    </row>
    <row r="190" spans="3:3" x14ac:dyDescent="0.2">
      <c r="C190" s="4"/>
    </row>
    <row r="191" spans="3:3" x14ac:dyDescent="0.2">
      <c r="C191" s="4"/>
    </row>
    <row r="192" spans="3:3" x14ac:dyDescent="0.2">
      <c r="C192" s="4"/>
    </row>
    <row r="193" spans="3:3" x14ac:dyDescent="0.2">
      <c r="C193" s="4"/>
    </row>
    <row r="194" spans="3:3" x14ac:dyDescent="0.2">
      <c r="C194" s="4"/>
    </row>
    <row r="195" spans="3:3" x14ac:dyDescent="0.2">
      <c r="C195" s="4"/>
    </row>
    <row r="196" spans="3:3" x14ac:dyDescent="0.2">
      <c r="C196" s="4"/>
    </row>
    <row r="197" spans="3:3" x14ac:dyDescent="0.2">
      <c r="C197" s="4"/>
    </row>
    <row r="198" spans="3:3" x14ac:dyDescent="0.2">
      <c r="C198" s="4"/>
    </row>
    <row r="199" spans="3:3" x14ac:dyDescent="0.2">
      <c r="C199" s="4"/>
    </row>
    <row r="200" spans="3:3" x14ac:dyDescent="0.2">
      <c r="C200" s="4"/>
    </row>
    <row r="201" spans="3:3" x14ac:dyDescent="0.2">
      <c r="C201" s="4"/>
    </row>
    <row r="202" spans="3:3" x14ac:dyDescent="0.2">
      <c r="C202" s="4"/>
    </row>
    <row r="203" spans="3:3" x14ac:dyDescent="0.2">
      <c r="C203" s="4"/>
    </row>
    <row r="204" spans="3:3" x14ac:dyDescent="0.2">
      <c r="C204" s="4"/>
    </row>
    <row r="205" spans="3:3" x14ac:dyDescent="0.2">
      <c r="C205" s="4"/>
    </row>
    <row r="206" spans="3:3" x14ac:dyDescent="0.2">
      <c r="C206" s="4"/>
    </row>
    <row r="207" spans="3:3" x14ac:dyDescent="0.2">
      <c r="C207" s="4"/>
    </row>
    <row r="208" spans="3:3" x14ac:dyDescent="0.2">
      <c r="C208" s="4"/>
    </row>
    <row r="209" spans="3:3" x14ac:dyDescent="0.2">
      <c r="C209" s="4"/>
    </row>
    <row r="210" spans="3:3" x14ac:dyDescent="0.2">
      <c r="C210" s="4"/>
    </row>
    <row r="211" spans="3:3" x14ac:dyDescent="0.2">
      <c r="C211" s="4"/>
    </row>
    <row r="212" spans="3:3" x14ac:dyDescent="0.2">
      <c r="C212" s="4"/>
    </row>
    <row r="213" spans="3:3" x14ac:dyDescent="0.2">
      <c r="C213" s="4"/>
    </row>
    <row r="214" spans="3:3" x14ac:dyDescent="0.2">
      <c r="C214" s="4"/>
    </row>
    <row r="215" spans="3:3" x14ac:dyDescent="0.2">
      <c r="C215" s="4"/>
    </row>
    <row r="216" spans="3:3" x14ac:dyDescent="0.2">
      <c r="C216" s="4"/>
    </row>
    <row r="217" spans="3:3" x14ac:dyDescent="0.2">
      <c r="C217" s="4"/>
    </row>
    <row r="218" spans="3:3" x14ac:dyDescent="0.2">
      <c r="C218" s="4"/>
    </row>
    <row r="219" spans="3:3" x14ac:dyDescent="0.2">
      <c r="C219" s="4"/>
    </row>
    <row r="220" spans="3:3" x14ac:dyDescent="0.2">
      <c r="C220" s="4"/>
    </row>
    <row r="221" spans="3:3" x14ac:dyDescent="0.2">
      <c r="C221" s="4"/>
    </row>
    <row r="222" spans="3:3" x14ac:dyDescent="0.2">
      <c r="C222" s="4"/>
    </row>
    <row r="223" spans="3:3" x14ac:dyDescent="0.2">
      <c r="C223" s="4"/>
    </row>
    <row r="224" spans="3:3" x14ac:dyDescent="0.2">
      <c r="C224" s="4"/>
    </row>
    <row r="225" spans="3:3" x14ac:dyDescent="0.2">
      <c r="C225" s="4"/>
    </row>
    <row r="226" spans="3:3" x14ac:dyDescent="0.2">
      <c r="C226" s="4"/>
    </row>
    <row r="227" spans="3:3" x14ac:dyDescent="0.2">
      <c r="C227" s="4"/>
    </row>
    <row r="228" spans="3:3" x14ac:dyDescent="0.2">
      <c r="C228" s="4"/>
    </row>
    <row r="229" spans="3:3" x14ac:dyDescent="0.2">
      <c r="C229" s="4"/>
    </row>
    <row r="230" spans="3:3" x14ac:dyDescent="0.2">
      <c r="C230" s="4"/>
    </row>
    <row r="231" spans="3:3" x14ac:dyDescent="0.2">
      <c r="C231" s="4"/>
    </row>
    <row r="232" spans="3:3" x14ac:dyDescent="0.2">
      <c r="C232" s="4"/>
    </row>
    <row r="233" spans="3:3" x14ac:dyDescent="0.2">
      <c r="C233" s="4"/>
    </row>
    <row r="234" spans="3:3" x14ac:dyDescent="0.2">
      <c r="C234" s="4"/>
    </row>
    <row r="235" spans="3:3" x14ac:dyDescent="0.2">
      <c r="C235" s="4"/>
    </row>
    <row r="236" spans="3:3" x14ac:dyDescent="0.2">
      <c r="C236" s="4"/>
    </row>
    <row r="237" spans="3:3" x14ac:dyDescent="0.2">
      <c r="C237" s="4"/>
    </row>
    <row r="238" spans="3:3" x14ac:dyDescent="0.2">
      <c r="C238" s="4"/>
    </row>
    <row r="239" spans="3:3" x14ac:dyDescent="0.2">
      <c r="C239" s="4"/>
    </row>
    <row r="240" spans="3:3" x14ac:dyDescent="0.2">
      <c r="C240" s="4"/>
    </row>
    <row r="241" spans="3:3" x14ac:dyDescent="0.2">
      <c r="C241" s="4"/>
    </row>
    <row r="242" spans="3:3" x14ac:dyDescent="0.2">
      <c r="C242" s="4"/>
    </row>
    <row r="243" spans="3:3" x14ac:dyDescent="0.2">
      <c r="C243" s="4"/>
    </row>
    <row r="244" spans="3:3" x14ac:dyDescent="0.2">
      <c r="C244" s="4"/>
    </row>
    <row r="245" spans="3:3" x14ac:dyDescent="0.2">
      <c r="C245" s="4"/>
    </row>
    <row r="246" spans="3:3" x14ac:dyDescent="0.2">
      <c r="C246" s="4"/>
    </row>
    <row r="247" spans="3:3" x14ac:dyDescent="0.2">
      <c r="C247" s="4"/>
    </row>
    <row r="248" spans="3:3" x14ac:dyDescent="0.2">
      <c r="C248" s="4"/>
    </row>
    <row r="249" spans="3:3" x14ac:dyDescent="0.2">
      <c r="C249" s="4"/>
    </row>
    <row r="250" spans="3:3" x14ac:dyDescent="0.2">
      <c r="C250" s="4"/>
    </row>
    <row r="251" spans="3:3" x14ac:dyDescent="0.2">
      <c r="C251" s="4"/>
    </row>
    <row r="252" spans="3:3" x14ac:dyDescent="0.2">
      <c r="C252" s="4"/>
    </row>
    <row r="253" spans="3:3" x14ac:dyDescent="0.2">
      <c r="C253" s="4"/>
    </row>
    <row r="254" spans="3:3" x14ac:dyDescent="0.2">
      <c r="C254" s="4"/>
    </row>
    <row r="255" spans="3:3" x14ac:dyDescent="0.2">
      <c r="C255" s="4"/>
    </row>
    <row r="256" spans="3:3" x14ac:dyDescent="0.2">
      <c r="C256" s="4"/>
    </row>
    <row r="257" spans="3:3" x14ac:dyDescent="0.2">
      <c r="C257" s="4"/>
    </row>
    <row r="258" spans="3:3" x14ac:dyDescent="0.2">
      <c r="C258" s="4"/>
    </row>
    <row r="259" spans="3:3" x14ac:dyDescent="0.2">
      <c r="C259" s="4"/>
    </row>
    <row r="260" spans="3:3" x14ac:dyDescent="0.2">
      <c r="C260" s="4"/>
    </row>
  </sheetData>
  <mergeCells count="4">
    <mergeCell ref="C8:E8"/>
    <mergeCell ref="G8:I8"/>
    <mergeCell ref="K8:O8"/>
    <mergeCell ref="E1:N3"/>
  </mergeCells>
  <pageMargins left="0.7" right="0.7" top="0.75" bottom="0.75" header="0.3" footer="0.3"/>
  <pageSetup scale="4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1-New ARO Terms</vt:lpstr>
      <vt:lpstr>1a-New ARO Create</vt:lpstr>
      <vt:lpstr>2-Renewal Terms</vt:lpstr>
      <vt:lpstr>2a-Renewal Calc</vt:lpstr>
      <vt:lpstr>2b-Renewal Calc-INCREASE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Monks</dc:creator>
  <cp:lastModifiedBy>Rachel Kibby</cp:lastModifiedBy>
  <cp:lastPrinted>2013-12-04T17:53:01Z</cp:lastPrinted>
  <dcterms:created xsi:type="dcterms:W3CDTF">2012-11-19T13:24:19Z</dcterms:created>
  <dcterms:modified xsi:type="dcterms:W3CDTF">2022-03-15T13:30:12Z</dcterms:modified>
</cp:coreProperties>
</file>